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lyDuane\Documents\Joe\Bellewood files\"/>
    </mc:Choice>
  </mc:AlternateContent>
  <bookViews>
    <workbookView xWindow="0" yWindow="0" windowWidth="24000" windowHeight="11025" firstSheet="3" activeTab="11"/>
  </bookViews>
  <sheets>
    <sheet name="July 2013" sheetId="1" r:id="rId1"/>
    <sheet name="August 2013" sheetId="3" r:id="rId2"/>
    <sheet name="Sept 2013" sheetId="4" r:id="rId3"/>
    <sheet name="Oct 2013" sheetId="5" r:id="rId4"/>
    <sheet name="Nov 2013" sheetId="6" r:id="rId5"/>
    <sheet name="Dec 2013" sheetId="7" r:id="rId6"/>
    <sheet name="Jan 2014" sheetId="9" r:id="rId7"/>
    <sheet name="Feb 2014" sheetId="10" r:id="rId8"/>
    <sheet name="March 2014" sheetId="11" r:id="rId9"/>
    <sheet name="April 2014" sheetId="12" r:id="rId10"/>
    <sheet name="May 2014" sheetId="13" r:id="rId11"/>
    <sheet name="June 2014" sheetId="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8" l="1"/>
  <c r="L25" i="8"/>
  <c r="L43" i="13"/>
  <c r="J43" i="13"/>
  <c r="L42" i="13"/>
  <c r="J42" i="13"/>
  <c r="L41" i="13"/>
  <c r="J41" i="13"/>
  <c r="L40" i="13"/>
  <c r="J40" i="13"/>
  <c r="L39" i="13"/>
  <c r="J39" i="13"/>
  <c r="L38" i="13"/>
  <c r="J38" i="13"/>
  <c r="L37" i="13"/>
  <c r="J37" i="13"/>
  <c r="L35" i="13"/>
  <c r="J35" i="13"/>
  <c r="L34" i="13"/>
  <c r="J34" i="13"/>
  <c r="L33" i="13"/>
  <c r="J33" i="13"/>
  <c r="L32" i="13"/>
  <c r="J32" i="13"/>
  <c r="L31" i="13"/>
  <c r="J31" i="13"/>
  <c r="L30" i="13"/>
  <c r="J30" i="13"/>
  <c r="L29" i="13"/>
  <c r="J29" i="13"/>
  <c r="L28" i="13"/>
  <c r="J28" i="13"/>
  <c r="L27" i="13"/>
  <c r="J27" i="13"/>
  <c r="L26" i="13"/>
  <c r="J26" i="13"/>
  <c r="L25" i="13"/>
  <c r="J25" i="13"/>
  <c r="L24" i="13"/>
  <c r="J24" i="13"/>
  <c r="L23" i="13"/>
  <c r="J23" i="13"/>
  <c r="L22" i="13"/>
  <c r="J22" i="13"/>
  <c r="L21" i="13"/>
  <c r="J21" i="13"/>
  <c r="L20" i="13"/>
  <c r="J20" i="13"/>
  <c r="L19" i="13"/>
  <c r="J19" i="13"/>
  <c r="L18" i="13"/>
  <c r="J18" i="13"/>
  <c r="L17" i="13"/>
  <c r="J17" i="13"/>
  <c r="J43" i="8"/>
  <c r="J42" i="8"/>
  <c r="J41" i="8"/>
  <c r="N41" i="8" s="1"/>
  <c r="J40" i="8"/>
  <c r="L39" i="8"/>
  <c r="J39" i="8"/>
  <c r="J38" i="8"/>
  <c r="L37" i="8"/>
  <c r="J37" i="8"/>
  <c r="N37" i="8" s="1"/>
  <c r="L35" i="8"/>
  <c r="J35" i="8"/>
  <c r="L34" i="8"/>
  <c r="J34" i="8"/>
  <c r="L33" i="8"/>
  <c r="J33" i="8"/>
  <c r="N33" i="8" s="1"/>
  <c r="L32" i="8"/>
  <c r="J32" i="8"/>
  <c r="N32" i="8" s="1"/>
  <c r="J31" i="8"/>
  <c r="N31" i="8" s="1"/>
  <c r="L30" i="8"/>
  <c r="J30" i="8"/>
  <c r="N30" i="8" s="1"/>
  <c r="J29" i="8"/>
  <c r="L28" i="8"/>
  <c r="J28" i="8"/>
  <c r="L27" i="8"/>
  <c r="J27" i="8"/>
  <c r="L26" i="8"/>
  <c r="J26" i="8"/>
  <c r="N26" i="8" s="1"/>
  <c r="J25" i="8"/>
  <c r="N25" i="8" s="1"/>
  <c r="L24" i="8"/>
  <c r="J24" i="8"/>
  <c r="N24" i="8" s="1"/>
  <c r="L23" i="8"/>
  <c r="J23" i="8"/>
  <c r="N23" i="8" s="1"/>
  <c r="L22" i="8"/>
  <c r="J22" i="8"/>
  <c r="N22" i="8" s="1"/>
  <c r="L21" i="8"/>
  <c r="J21" i="8"/>
  <c r="N21" i="8" s="1"/>
  <c r="L20" i="8"/>
  <c r="J20" i="8"/>
  <c r="N20" i="8" s="1"/>
  <c r="L19" i="8"/>
  <c r="J19" i="8"/>
  <c r="L18" i="8"/>
  <c r="J18" i="8"/>
  <c r="L17" i="8"/>
  <c r="J17" i="8"/>
  <c r="C19" i="8"/>
  <c r="E19" i="8"/>
  <c r="L10" i="8"/>
  <c r="L9" i="8"/>
  <c r="L8" i="8"/>
  <c r="L7" i="8"/>
  <c r="L6" i="8"/>
  <c r="J10" i="8"/>
  <c r="J9" i="8"/>
  <c r="J8" i="8"/>
  <c r="J7" i="8"/>
  <c r="J6" i="8"/>
  <c r="C8" i="8"/>
  <c r="P45" i="8"/>
  <c r="C45" i="8"/>
  <c r="N43" i="8"/>
  <c r="G43" i="8"/>
  <c r="E43" i="8"/>
  <c r="E42" i="8"/>
  <c r="G41" i="8"/>
  <c r="N40" i="8"/>
  <c r="G40" i="8"/>
  <c r="N39" i="8"/>
  <c r="G39" i="8"/>
  <c r="N38" i="8"/>
  <c r="G38" i="8"/>
  <c r="E37" i="8"/>
  <c r="N35" i="8"/>
  <c r="G35" i="8"/>
  <c r="N34" i="8"/>
  <c r="G34" i="8"/>
  <c r="E34" i="8"/>
  <c r="G33" i="8"/>
  <c r="E32" i="8"/>
  <c r="G31" i="8"/>
  <c r="G30" i="8"/>
  <c r="E30" i="8"/>
  <c r="N29" i="8"/>
  <c r="G29" i="8"/>
  <c r="N28" i="8"/>
  <c r="G28" i="8"/>
  <c r="E27" i="8"/>
  <c r="G26" i="8"/>
  <c r="E26" i="8"/>
  <c r="G25" i="8"/>
  <c r="G24" i="8"/>
  <c r="G23" i="8"/>
  <c r="E22" i="8"/>
  <c r="G21" i="8"/>
  <c r="E21" i="8"/>
  <c r="E20" i="8"/>
  <c r="G19" i="8"/>
  <c r="G18" i="8"/>
  <c r="G17" i="8"/>
  <c r="E17" i="8"/>
  <c r="E45" i="8" s="1"/>
  <c r="P12" i="8"/>
  <c r="C12" i="8"/>
  <c r="N10" i="8"/>
  <c r="G10" i="8"/>
  <c r="E10" i="8"/>
  <c r="G9" i="8"/>
  <c r="N8" i="8"/>
  <c r="E8" i="8"/>
  <c r="G8" i="8"/>
  <c r="E7" i="8"/>
  <c r="E12" i="8" s="1"/>
  <c r="G6" i="8"/>
  <c r="J45" i="8" l="1"/>
  <c r="N19" i="8"/>
  <c r="L45" i="8"/>
  <c r="N18" i="8"/>
  <c r="N9" i="8"/>
  <c r="J12" i="8"/>
  <c r="N27" i="8"/>
  <c r="N42" i="8"/>
  <c r="N6" i="8"/>
  <c r="G7" i="8"/>
  <c r="G12" i="8" s="1"/>
  <c r="N7" i="8"/>
  <c r="N17" i="8"/>
  <c r="G20" i="8"/>
  <c r="G22" i="8"/>
  <c r="G27" i="8"/>
  <c r="G32" i="8"/>
  <c r="G37" i="8"/>
  <c r="G42" i="8"/>
  <c r="J6" i="12"/>
  <c r="J10" i="13"/>
  <c r="J9" i="13"/>
  <c r="N9" i="13" s="1"/>
  <c r="J8" i="13"/>
  <c r="J7" i="13"/>
  <c r="J6" i="13"/>
  <c r="L10" i="13"/>
  <c r="N10" i="13"/>
  <c r="L9" i="13"/>
  <c r="L8" i="13"/>
  <c r="N8" i="13"/>
  <c r="L7" i="13"/>
  <c r="L6" i="13"/>
  <c r="C8" i="13"/>
  <c r="P45" i="13"/>
  <c r="N43" i="13"/>
  <c r="E43" i="13"/>
  <c r="N42" i="13"/>
  <c r="G42" i="13"/>
  <c r="E42" i="13"/>
  <c r="N41" i="13"/>
  <c r="G41" i="13"/>
  <c r="N40" i="13"/>
  <c r="G40" i="13"/>
  <c r="N39" i="13"/>
  <c r="G39" i="13"/>
  <c r="N38" i="13"/>
  <c r="G38" i="13"/>
  <c r="N37" i="13"/>
  <c r="E37" i="13"/>
  <c r="N35" i="13"/>
  <c r="G35" i="13"/>
  <c r="N34" i="13"/>
  <c r="G34" i="13"/>
  <c r="E34" i="13"/>
  <c r="N33" i="13"/>
  <c r="G33" i="13"/>
  <c r="N32" i="13"/>
  <c r="E32" i="13"/>
  <c r="N31" i="13"/>
  <c r="G31" i="13"/>
  <c r="E30" i="13"/>
  <c r="C45" i="13"/>
  <c r="N29" i="13"/>
  <c r="G29" i="13"/>
  <c r="N28" i="13"/>
  <c r="G28" i="13"/>
  <c r="N27" i="13"/>
  <c r="G27" i="13"/>
  <c r="E27" i="13"/>
  <c r="N26" i="13"/>
  <c r="E26" i="13"/>
  <c r="N25" i="13"/>
  <c r="G25" i="13"/>
  <c r="N24" i="13"/>
  <c r="G24" i="13"/>
  <c r="N23" i="13"/>
  <c r="G23" i="13"/>
  <c r="N22" i="13"/>
  <c r="G22" i="13"/>
  <c r="E22" i="13"/>
  <c r="E21" i="13"/>
  <c r="N20" i="13"/>
  <c r="G20" i="13"/>
  <c r="E20" i="13"/>
  <c r="N19" i="13"/>
  <c r="G19" i="13"/>
  <c r="G18" i="13"/>
  <c r="E17" i="13"/>
  <c r="L45" i="13" s="1"/>
  <c r="P12" i="13"/>
  <c r="E10" i="13"/>
  <c r="E8" i="13"/>
  <c r="N7" i="13"/>
  <c r="G7" i="13"/>
  <c r="E7" i="13"/>
  <c r="L12" i="13"/>
  <c r="C12" i="13"/>
  <c r="G45" i="8" l="1"/>
  <c r="N45" i="8"/>
  <c r="L12" i="8"/>
  <c r="N12" i="8"/>
  <c r="N18" i="13"/>
  <c r="N21" i="13"/>
  <c r="G8" i="13"/>
  <c r="G9" i="13"/>
  <c r="E12" i="13"/>
  <c r="N17" i="13"/>
  <c r="G30" i="13"/>
  <c r="E45" i="13"/>
  <c r="G6" i="13"/>
  <c r="G10" i="13"/>
  <c r="G17" i="13"/>
  <c r="G21" i="13"/>
  <c r="G26" i="13"/>
  <c r="N30" i="13"/>
  <c r="G32" i="13"/>
  <c r="G37" i="13"/>
  <c r="G43" i="13"/>
  <c r="C30" i="12"/>
  <c r="L43" i="12"/>
  <c r="L42" i="12"/>
  <c r="L41" i="12"/>
  <c r="L40" i="12"/>
  <c r="N40" i="12" s="1"/>
  <c r="L39" i="12"/>
  <c r="L38" i="12"/>
  <c r="N38" i="12" s="1"/>
  <c r="L37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J43" i="12"/>
  <c r="J42" i="12"/>
  <c r="J41" i="12"/>
  <c r="J40" i="12"/>
  <c r="J39" i="12"/>
  <c r="J38" i="12"/>
  <c r="J37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N21" i="12" s="1"/>
  <c r="J20" i="12"/>
  <c r="J19" i="12"/>
  <c r="J18" i="12"/>
  <c r="J17" i="12"/>
  <c r="J10" i="12"/>
  <c r="J9" i="12"/>
  <c r="J8" i="12"/>
  <c r="J7" i="12"/>
  <c r="E9" i="12"/>
  <c r="C9" i="12"/>
  <c r="C8" i="12"/>
  <c r="N8" i="12"/>
  <c r="L10" i="12"/>
  <c r="L9" i="12"/>
  <c r="L8" i="12"/>
  <c r="L7" i="12"/>
  <c r="L6" i="12"/>
  <c r="C6" i="12"/>
  <c r="P45" i="12"/>
  <c r="N43" i="12"/>
  <c r="E43" i="12"/>
  <c r="G43" i="12"/>
  <c r="E42" i="12"/>
  <c r="N41" i="12"/>
  <c r="G41" i="12"/>
  <c r="G40" i="12"/>
  <c r="N39" i="12"/>
  <c r="G39" i="12"/>
  <c r="G38" i="12"/>
  <c r="N37" i="12"/>
  <c r="G37" i="12"/>
  <c r="E37" i="12"/>
  <c r="N35" i="12"/>
  <c r="G35" i="12"/>
  <c r="E34" i="12"/>
  <c r="N33" i="12"/>
  <c r="G33" i="12"/>
  <c r="G32" i="12"/>
  <c r="E32" i="12"/>
  <c r="N31" i="12"/>
  <c r="G31" i="12"/>
  <c r="E30" i="12"/>
  <c r="N29" i="12"/>
  <c r="G29" i="12"/>
  <c r="G28" i="12"/>
  <c r="N27" i="12"/>
  <c r="E27" i="12"/>
  <c r="N26" i="12"/>
  <c r="G26" i="12"/>
  <c r="E26" i="12"/>
  <c r="N25" i="12"/>
  <c r="G25" i="12"/>
  <c r="G24" i="12"/>
  <c r="N23" i="12"/>
  <c r="G23" i="12"/>
  <c r="E22" i="12"/>
  <c r="G21" i="12"/>
  <c r="E21" i="12"/>
  <c r="E20" i="12"/>
  <c r="C45" i="12"/>
  <c r="G18" i="12"/>
  <c r="N17" i="12"/>
  <c r="G17" i="12"/>
  <c r="E17" i="12"/>
  <c r="P12" i="12"/>
  <c r="C12" i="12"/>
  <c r="N10" i="12"/>
  <c r="G10" i="12"/>
  <c r="E10" i="12"/>
  <c r="G9" i="12"/>
  <c r="E8" i="12"/>
  <c r="G8" i="12"/>
  <c r="E7" i="12"/>
  <c r="E12" i="12" s="1"/>
  <c r="G6" i="12"/>
  <c r="G12" i="13" l="1"/>
  <c r="G45" i="13"/>
  <c r="N45" i="13"/>
  <c r="J12" i="13"/>
  <c r="N6" i="13"/>
  <c r="N12" i="13" s="1"/>
  <c r="J45" i="13"/>
  <c r="N28" i="12"/>
  <c r="N18" i="12"/>
  <c r="N24" i="12"/>
  <c r="N30" i="12"/>
  <c r="N32" i="12"/>
  <c r="N34" i="12"/>
  <c r="N9" i="12"/>
  <c r="J12" i="12"/>
  <c r="N6" i="12"/>
  <c r="N7" i="12"/>
  <c r="L45" i="12"/>
  <c r="N20" i="12"/>
  <c r="N22" i="12"/>
  <c r="N42" i="12"/>
  <c r="G19" i="12"/>
  <c r="E45" i="12"/>
  <c r="G7" i="12"/>
  <c r="G12" i="12" s="1"/>
  <c r="L12" i="12"/>
  <c r="G20" i="12"/>
  <c r="G22" i="12"/>
  <c r="G27" i="12"/>
  <c r="G30" i="12"/>
  <c r="G34" i="12"/>
  <c r="G42" i="12"/>
  <c r="J43" i="11"/>
  <c r="J6" i="11"/>
  <c r="G45" i="12" l="1"/>
  <c r="N19" i="12"/>
  <c r="N45" i="12" s="1"/>
  <c r="J45" i="12"/>
  <c r="N12" i="12"/>
  <c r="C43" i="11"/>
  <c r="C28" i="11"/>
  <c r="C19" i="11"/>
  <c r="E19" i="11"/>
  <c r="L43" i="11"/>
  <c r="L42" i="11"/>
  <c r="L41" i="11"/>
  <c r="L40" i="11"/>
  <c r="L39" i="11"/>
  <c r="N39" i="11" s="1"/>
  <c r="L38" i="11"/>
  <c r="L37" i="11"/>
  <c r="L35" i="11"/>
  <c r="N35" i="11" s="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J42" i="11"/>
  <c r="J41" i="11"/>
  <c r="J40" i="11"/>
  <c r="N40" i="11" s="1"/>
  <c r="J39" i="11"/>
  <c r="J38" i="11"/>
  <c r="N38" i="11" s="1"/>
  <c r="J37" i="11"/>
  <c r="J35" i="11"/>
  <c r="J34" i="11"/>
  <c r="J33" i="11"/>
  <c r="J32" i="11"/>
  <c r="J31" i="11"/>
  <c r="J30" i="11"/>
  <c r="J29" i="11"/>
  <c r="J28" i="11"/>
  <c r="J27" i="11"/>
  <c r="N27" i="11" s="1"/>
  <c r="J26" i="11"/>
  <c r="N26" i="11" s="1"/>
  <c r="J25" i="11"/>
  <c r="J24" i="11"/>
  <c r="J23" i="11"/>
  <c r="J22" i="11"/>
  <c r="J21" i="11"/>
  <c r="J20" i="11"/>
  <c r="J19" i="11"/>
  <c r="J18" i="11"/>
  <c r="N18" i="11" s="1"/>
  <c r="J17" i="11"/>
  <c r="C8" i="11"/>
  <c r="C6" i="11"/>
  <c r="L10" i="11"/>
  <c r="L9" i="11"/>
  <c r="L8" i="11"/>
  <c r="L7" i="11"/>
  <c r="L6" i="11"/>
  <c r="J10" i="11"/>
  <c r="N10" i="11" s="1"/>
  <c r="J9" i="11"/>
  <c r="J8" i="11"/>
  <c r="J7" i="11"/>
  <c r="P45" i="11"/>
  <c r="E43" i="11"/>
  <c r="E42" i="11"/>
  <c r="N41" i="11"/>
  <c r="G41" i="11"/>
  <c r="G40" i="11"/>
  <c r="G39" i="11"/>
  <c r="G38" i="11"/>
  <c r="N37" i="11"/>
  <c r="G37" i="11"/>
  <c r="E37" i="11"/>
  <c r="G35" i="11"/>
  <c r="N34" i="11"/>
  <c r="E34" i="11"/>
  <c r="G33" i="11"/>
  <c r="N32" i="11"/>
  <c r="G32" i="11"/>
  <c r="E32" i="11"/>
  <c r="N31" i="11"/>
  <c r="G31" i="11"/>
  <c r="N30" i="11"/>
  <c r="E30" i="11"/>
  <c r="N29" i="11"/>
  <c r="G29" i="11"/>
  <c r="G28" i="11"/>
  <c r="C45" i="11"/>
  <c r="E27" i="11"/>
  <c r="G26" i="11"/>
  <c r="E26" i="11"/>
  <c r="N25" i="11"/>
  <c r="G25" i="11"/>
  <c r="N24" i="11"/>
  <c r="G24" i="11"/>
  <c r="N23" i="11"/>
  <c r="G23" i="11"/>
  <c r="E22" i="11"/>
  <c r="G21" i="11"/>
  <c r="E21" i="11"/>
  <c r="E20" i="11"/>
  <c r="G19" i="11"/>
  <c r="G18" i="11"/>
  <c r="G17" i="11"/>
  <c r="E17" i="11"/>
  <c r="E45" i="11" s="1"/>
  <c r="P12" i="11"/>
  <c r="G10" i="11"/>
  <c r="E10" i="11"/>
  <c r="E8" i="11"/>
  <c r="G8" i="11"/>
  <c r="G7" i="11"/>
  <c r="E7" i="11"/>
  <c r="E12" i="11" s="1"/>
  <c r="L12" i="11"/>
  <c r="C12" i="11"/>
  <c r="N33" i="11" l="1"/>
  <c r="N21" i="11"/>
  <c r="N19" i="11"/>
  <c r="N7" i="11"/>
  <c r="N9" i="11"/>
  <c r="L45" i="11"/>
  <c r="N20" i="11"/>
  <c r="N22" i="11"/>
  <c r="N42" i="11"/>
  <c r="N43" i="11"/>
  <c r="G6" i="11"/>
  <c r="N8" i="11"/>
  <c r="G9" i="11"/>
  <c r="N17" i="11"/>
  <c r="G20" i="11"/>
  <c r="G22" i="11"/>
  <c r="G27" i="11"/>
  <c r="N28" i="11"/>
  <c r="G30" i="11"/>
  <c r="G34" i="11"/>
  <c r="G42" i="11"/>
  <c r="G43" i="11"/>
  <c r="C28" i="10"/>
  <c r="L43" i="10"/>
  <c r="J43" i="10"/>
  <c r="L42" i="10"/>
  <c r="J42" i="10"/>
  <c r="L41" i="10"/>
  <c r="J41" i="10"/>
  <c r="N41" i="10" s="1"/>
  <c r="L40" i="10"/>
  <c r="J40" i="10"/>
  <c r="L39" i="10"/>
  <c r="J39" i="10"/>
  <c r="L38" i="10"/>
  <c r="J38" i="10"/>
  <c r="L37" i="10"/>
  <c r="J37" i="10"/>
  <c r="L35" i="10"/>
  <c r="J35" i="10"/>
  <c r="L34" i="10"/>
  <c r="J34" i="10"/>
  <c r="L33" i="10"/>
  <c r="N33" i="10" s="1"/>
  <c r="J33" i="10"/>
  <c r="L32" i="10"/>
  <c r="J32" i="10"/>
  <c r="L31" i="10"/>
  <c r="J31" i="10"/>
  <c r="N31" i="10" s="1"/>
  <c r="L30" i="10"/>
  <c r="J30" i="10"/>
  <c r="L29" i="10"/>
  <c r="J29" i="10"/>
  <c r="N29" i="10" s="1"/>
  <c r="L28" i="10"/>
  <c r="J28" i="10"/>
  <c r="L27" i="10"/>
  <c r="J27" i="10"/>
  <c r="L26" i="10"/>
  <c r="J26" i="10"/>
  <c r="L25" i="10"/>
  <c r="J25" i="10"/>
  <c r="L24" i="10"/>
  <c r="J24" i="10"/>
  <c r="L23" i="10"/>
  <c r="J23" i="10"/>
  <c r="L22" i="10"/>
  <c r="J22" i="10"/>
  <c r="L21" i="10"/>
  <c r="J21" i="10"/>
  <c r="N21" i="10" s="1"/>
  <c r="L20" i="10"/>
  <c r="J20" i="10"/>
  <c r="N20" i="10" s="1"/>
  <c r="L19" i="10"/>
  <c r="J19" i="10"/>
  <c r="L18" i="10"/>
  <c r="J18" i="10"/>
  <c r="L17" i="10"/>
  <c r="J17" i="10"/>
  <c r="C9" i="10"/>
  <c r="C8" i="10"/>
  <c r="L10" i="10"/>
  <c r="L9" i="10"/>
  <c r="N9" i="10" s="1"/>
  <c r="L8" i="10"/>
  <c r="L7" i="10"/>
  <c r="L6" i="10"/>
  <c r="J10" i="10"/>
  <c r="J9" i="10"/>
  <c r="J8" i="10"/>
  <c r="J7" i="10"/>
  <c r="J6" i="10"/>
  <c r="C6" i="10"/>
  <c r="P45" i="10"/>
  <c r="E43" i="10"/>
  <c r="N42" i="10"/>
  <c r="G42" i="10"/>
  <c r="E42" i="10"/>
  <c r="G41" i="10"/>
  <c r="G40" i="10"/>
  <c r="N39" i="10"/>
  <c r="G39" i="10"/>
  <c r="N38" i="10"/>
  <c r="G38" i="10"/>
  <c r="N37" i="10"/>
  <c r="G37" i="10"/>
  <c r="E37" i="10"/>
  <c r="G35" i="10"/>
  <c r="E34" i="10"/>
  <c r="G33" i="10"/>
  <c r="N32" i="10"/>
  <c r="G32" i="10"/>
  <c r="E32" i="10"/>
  <c r="G31" i="10"/>
  <c r="E30" i="10"/>
  <c r="G30" i="10"/>
  <c r="G29" i="10"/>
  <c r="G28" i="10"/>
  <c r="N27" i="10"/>
  <c r="G27" i="10"/>
  <c r="E27" i="10"/>
  <c r="E26" i="10"/>
  <c r="N25" i="10"/>
  <c r="G25" i="10"/>
  <c r="N24" i="10"/>
  <c r="G24" i="10"/>
  <c r="N23" i="10"/>
  <c r="G23" i="10"/>
  <c r="N22" i="10"/>
  <c r="G22" i="10"/>
  <c r="E22" i="10"/>
  <c r="E21" i="10"/>
  <c r="G20" i="10"/>
  <c r="E20" i="10"/>
  <c r="N19" i="10"/>
  <c r="G19" i="10"/>
  <c r="N18" i="10"/>
  <c r="G18" i="10"/>
  <c r="E17" i="10"/>
  <c r="E45" i="10" s="1"/>
  <c r="P12" i="10"/>
  <c r="E10" i="10"/>
  <c r="E8" i="10"/>
  <c r="N8" i="10"/>
  <c r="G7" i="10"/>
  <c r="E7" i="10"/>
  <c r="C12" i="10"/>
  <c r="G45" i="11" l="1"/>
  <c r="G12" i="11"/>
  <c r="N6" i="11"/>
  <c r="N12" i="11" s="1"/>
  <c r="J12" i="11"/>
  <c r="N45" i="11"/>
  <c r="J45" i="11"/>
  <c r="N35" i="10"/>
  <c r="N43" i="10"/>
  <c r="N7" i="10"/>
  <c r="L12" i="10"/>
  <c r="N10" i="10"/>
  <c r="N26" i="10"/>
  <c r="N30" i="10"/>
  <c r="N34" i="10"/>
  <c r="G8" i="10"/>
  <c r="G9" i="10"/>
  <c r="E12" i="10"/>
  <c r="N28" i="10"/>
  <c r="N40" i="10"/>
  <c r="G43" i="10"/>
  <c r="C45" i="10"/>
  <c r="G6" i="10"/>
  <c r="G10" i="10"/>
  <c r="G17" i="10"/>
  <c r="L45" i="10"/>
  <c r="G21" i="10"/>
  <c r="G26" i="10"/>
  <c r="G34" i="10"/>
  <c r="L35" i="9"/>
  <c r="J35" i="9"/>
  <c r="N35" i="9" s="1"/>
  <c r="G35" i="9"/>
  <c r="P35" i="1"/>
  <c r="C43" i="9"/>
  <c r="C40" i="9"/>
  <c r="C30" i="9"/>
  <c r="C28" i="9"/>
  <c r="E9" i="9"/>
  <c r="C9" i="9"/>
  <c r="C8" i="9"/>
  <c r="L6" i="9"/>
  <c r="C6" i="9"/>
  <c r="P45" i="9"/>
  <c r="E43" i="9"/>
  <c r="G43" i="9"/>
  <c r="E42" i="9"/>
  <c r="G41" i="9"/>
  <c r="G40" i="9"/>
  <c r="G39" i="9"/>
  <c r="G38" i="9"/>
  <c r="G37" i="9"/>
  <c r="E37" i="9"/>
  <c r="E34" i="9"/>
  <c r="G33" i="9"/>
  <c r="G32" i="9"/>
  <c r="E32" i="9"/>
  <c r="G31" i="9"/>
  <c r="E30" i="9"/>
  <c r="G29" i="9"/>
  <c r="G28" i="9"/>
  <c r="G27" i="9"/>
  <c r="E27" i="9"/>
  <c r="E26" i="9"/>
  <c r="G25" i="9"/>
  <c r="G24" i="9"/>
  <c r="G23" i="9"/>
  <c r="G22" i="9"/>
  <c r="E22" i="9"/>
  <c r="E21" i="9"/>
  <c r="G20" i="9"/>
  <c r="E20" i="9"/>
  <c r="C45" i="9"/>
  <c r="G18" i="9"/>
  <c r="E17" i="9"/>
  <c r="P12" i="9"/>
  <c r="E10" i="9"/>
  <c r="G9" i="9"/>
  <c r="E8" i="9"/>
  <c r="C12" i="9"/>
  <c r="G7" i="9"/>
  <c r="E7" i="9"/>
  <c r="G6" i="9"/>
  <c r="N17" i="10" l="1"/>
  <c r="N45" i="10" s="1"/>
  <c r="J12" i="10"/>
  <c r="N6" i="10"/>
  <c r="N12" i="10" s="1"/>
  <c r="J45" i="10"/>
  <c r="G45" i="10"/>
  <c r="G12" i="10"/>
  <c r="G8" i="9"/>
  <c r="G12" i="9" s="1"/>
  <c r="E12" i="9"/>
  <c r="E45" i="9"/>
  <c r="G10" i="9"/>
  <c r="G17" i="9"/>
  <c r="G19" i="9"/>
  <c r="G21" i="9"/>
  <c r="G26" i="9"/>
  <c r="G30" i="9"/>
  <c r="G34" i="9"/>
  <c r="G42" i="9"/>
  <c r="C43" i="7"/>
  <c r="C19" i="7"/>
  <c r="C8" i="7"/>
  <c r="E18" i="7"/>
  <c r="P45" i="7"/>
  <c r="C45" i="7"/>
  <c r="G43" i="7"/>
  <c r="E43" i="7"/>
  <c r="E42" i="7"/>
  <c r="G41" i="7"/>
  <c r="G40" i="7"/>
  <c r="G39" i="7"/>
  <c r="G38" i="7"/>
  <c r="G37" i="7"/>
  <c r="E37" i="7"/>
  <c r="E34" i="7"/>
  <c r="G33" i="7"/>
  <c r="G32" i="7"/>
  <c r="E32" i="7"/>
  <c r="G30" i="7"/>
  <c r="E30" i="7"/>
  <c r="G29" i="7"/>
  <c r="G28" i="7"/>
  <c r="E27" i="7"/>
  <c r="G26" i="7"/>
  <c r="E26" i="7"/>
  <c r="G25" i="7"/>
  <c r="G24" i="7"/>
  <c r="G23" i="7"/>
  <c r="E22" i="7"/>
  <c r="G21" i="7"/>
  <c r="E21" i="7"/>
  <c r="E20" i="7"/>
  <c r="G19" i="7"/>
  <c r="G18" i="7"/>
  <c r="G17" i="7"/>
  <c r="E17" i="7"/>
  <c r="E45" i="7" s="1"/>
  <c r="P12" i="7"/>
  <c r="G10" i="7"/>
  <c r="E10" i="7"/>
  <c r="G9" i="7"/>
  <c r="E8" i="7"/>
  <c r="C12" i="7"/>
  <c r="E7" i="7"/>
  <c r="E12" i="7" s="1"/>
  <c r="G6" i="7"/>
  <c r="E38" i="5"/>
  <c r="E31" i="6"/>
  <c r="C8" i="6"/>
  <c r="P45" i="6"/>
  <c r="E43" i="6"/>
  <c r="G42" i="6"/>
  <c r="E42" i="6"/>
  <c r="G41" i="6"/>
  <c r="G40" i="6"/>
  <c r="G39" i="6"/>
  <c r="G38" i="6"/>
  <c r="E37" i="6"/>
  <c r="G37" i="6"/>
  <c r="E34" i="6"/>
  <c r="G33" i="6"/>
  <c r="G32" i="6"/>
  <c r="E32" i="6"/>
  <c r="G31" i="6"/>
  <c r="E30" i="6"/>
  <c r="G29" i="6"/>
  <c r="G28" i="6"/>
  <c r="G27" i="6"/>
  <c r="E27" i="6"/>
  <c r="E26" i="6"/>
  <c r="G25" i="6"/>
  <c r="G24" i="6"/>
  <c r="G23" i="6"/>
  <c r="G22" i="6"/>
  <c r="E22" i="6"/>
  <c r="E21" i="6"/>
  <c r="G20" i="6"/>
  <c r="E20" i="6"/>
  <c r="G19" i="6"/>
  <c r="G18" i="6"/>
  <c r="E17" i="6"/>
  <c r="C45" i="6"/>
  <c r="P12" i="6"/>
  <c r="G10" i="6"/>
  <c r="E10" i="6"/>
  <c r="E8" i="6"/>
  <c r="G7" i="6"/>
  <c r="E7" i="6"/>
  <c r="E12" i="6" s="1"/>
  <c r="G6" i="6"/>
  <c r="C37" i="5"/>
  <c r="C17" i="5"/>
  <c r="C8" i="5"/>
  <c r="E9" i="5"/>
  <c r="P45" i="5"/>
  <c r="E43" i="5"/>
  <c r="G42" i="5"/>
  <c r="E42" i="5"/>
  <c r="G41" i="5"/>
  <c r="G40" i="5"/>
  <c r="G39" i="5"/>
  <c r="G38" i="5"/>
  <c r="E37" i="5"/>
  <c r="G34" i="5"/>
  <c r="E34" i="5"/>
  <c r="G33" i="5"/>
  <c r="E32" i="5"/>
  <c r="G31" i="5"/>
  <c r="G30" i="5"/>
  <c r="E30" i="5"/>
  <c r="G29" i="5"/>
  <c r="G28" i="5"/>
  <c r="E27" i="5"/>
  <c r="G26" i="5"/>
  <c r="E26" i="5"/>
  <c r="G25" i="5"/>
  <c r="G24" i="5"/>
  <c r="G23" i="5"/>
  <c r="E22" i="5"/>
  <c r="G21" i="5"/>
  <c r="E21" i="5"/>
  <c r="E20" i="5"/>
  <c r="G19" i="5"/>
  <c r="C45" i="5"/>
  <c r="G18" i="5"/>
  <c r="E17" i="5"/>
  <c r="P12" i="5"/>
  <c r="E10" i="5"/>
  <c r="G9" i="5"/>
  <c r="E8" i="5"/>
  <c r="C12" i="5"/>
  <c r="G7" i="5"/>
  <c r="E7" i="5"/>
  <c r="G6" i="5"/>
  <c r="G45" i="9" l="1"/>
  <c r="G7" i="7"/>
  <c r="G8" i="7"/>
  <c r="G20" i="7"/>
  <c r="G22" i="7"/>
  <c r="G27" i="7"/>
  <c r="G31" i="7"/>
  <c r="G34" i="7"/>
  <c r="G42" i="7"/>
  <c r="G8" i="6"/>
  <c r="C12" i="6"/>
  <c r="E45" i="6"/>
  <c r="G9" i="6"/>
  <c r="G17" i="6"/>
  <c r="G21" i="6"/>
  <c r="G26" i="6"/>
  <c r="G30" i="6"/>
  <c r="G34" i="6"/>
  <c r="G43" i="6"/>
  <c r="G8" i="5"/>
  <c r="G12" i="5" s="1"/>
  <c r="E12" i="5"/>
  <c r="E45" i="5"/>
  <c r="G10" i="5"/>
  <c r="G17" i="5"/>
  <c r="G20" i="5"/>
  <c r="G22" i="5"/>
  <c r="G27" i="5"/>
  <c r="G32" i="5"/>
  <c r="G37" i="5"/>
  <c r="G43" i="5"/>
  <c r="E30" i="4"/>
  <c r="E30" i="3"/>
  <c r="E30" i="1"/>
  <c r="C19" i="4"/>
  <c r="J6" i="4"/>
  <c r="J6" i="5" s="1"/>
  <c r="C8" i="4"/>
  <c r="N6" i="5" l="1"/>
  <c r="J6" i="6"/>
  <c r="G12" i="7"/>
  <c r="G45" i="7"/>
  <c r="G12" i="6"/>
  <c r="G45" i="6"/>
  <c r="G45" i="5"/>
  <c r="P45" i="4"/>
  <c r="L43" i="4"/>
  <c r="L43" i="5" s="1"/>
  <c r="L43" i="6" s="1"/>
  <c r="L43" i="7" s="1"/>
  <c r="L43" i="9" s="1"/>
  <c r="E43" i="4"/>
  <c r="G42" i="4"/>
  <c r="E42" i="4"/>
  <c r="G41" i="4"/>
  <c r="G40" i="4"/>
  <c r="G39" i="4"/>
  <c r="G38" i="4"/>
  <c r="E37" i="4"/>
  <c r="G34" i="4"/>
  <c r="E34" i="4"/>
  <c r="G33" i="4"/>
  <c r="E32" i="4"/>
  <c r="G31" i="4"/>
  <c r="G30" i="4"/>
  <c r="G29" i="4"/>
  <c r="G28" i="4"/>
  <c r="G27" i="4"/>
  <c r="E27" i="4"/>
  <c r="E26" i="4"/>
  <c r="G25" i="4"/>
  <c r="G24" i="4"/>
  <c r="G23" i="4"/>
  <c r="G22" i="4"/>
  <c r="E22" i="4"/>
  <c r="E21" i="4"/>
  <c r="G20" i="4"/>
  <c r="E20" i="4"/>
  <c r="G19" i="4"/>
  <c r="G18" i="4"/>
  <c r="E17" i="4"/>
  <c r="E45" i="4" s="1"/>
  <c r="P12" i="4"/>
  <c r="E10" i="4"/>
  <c r="G9" i="4"/>
  <c r="E8" i="4"/>
  <c r="C12" i="4"/>
  <c r="G7" i="4"/>
  <c r="E7" i="4"/>
  <c r="N6" i="4"/>
  <c r="G6" i="4"/>
  <c r="E42" i="3"/>
  <c r="L42" i="3"/>
  <c r="L42" i="4" s="1"/>
  <c r="L42" i="5" s="1"/>
  <c r="L42" i="6" s="1"/>
  <c r="L42" i="7" s="1"/>
  <c r="L42" i="9" s="1"/>
  <c r="J42" i="3"/>
  <c r="J42" i="4" s="1"/>
  <c r="J42" i="5" s="1"/>
  <c r="G42" i="3"/>
  <c r="C43" i="3"/>
  <c r="G42" i="1"/>
  <c r="J6" i="7" l="1"/>
  <c r="N6" i="6"/>
  <c r="N42" i="4"/>
  <c r="J42" i="6"/>
  <c r="N42" i="5"/>
  <c r="G8" i="4"/>
  <c r="G12" i="4" s="1"/>
  <c r="E12" i="4"/>
  <c r="G43" i="4"/>
  <c r="C45" i="4"/>
  <c r="G10" i="4"/>
  <c r="G17" i="4"/>
  <c r="G21" i="4"/>
  <c r="G26" i="4"/>
  <c r="G32" i="4"/>
  <c r="G37" i="4"/>
  <c r="N42" i="3"/>
  <c r="L41" i="3"/>
  <c r="L41" i="4" s="1"/>
  <c r="L41" i="5" s="1"/>
  <c r="L41" i="6" s="1"/>
  <c r="L41" i="7" s="1"/>
  <c r="L41" i="9" s="1"/>
  <c r="L40" i="3"/>
  <c r="L40" i="4" s="1"/>
  <c r="L40" i="5" s="1"/>
  <c r="L40" i="6" s="1"/>
  <c r="L40" i="7" s="1"/>
  <c r="L40" i="9" s="1"/>
  <c r="L39" i="3"/>
  <c r="L39" i="4" s="1"/>
  <c r="L39" i="5" s="1"/>
  <c r="L39" i="6" s="1"/>
  <c r="L39" i="7" s="1"/>
  <c r="L39" i="9" s="1"/>
  <c r="L33" i="3"/>
  <c r="L33" i="4" s="1"/>
  <c r="L33" i="5" s="1"/>
  <c r="L33" i="6" s="1"/>
  <c r="L33" i="7" s="1"/>
  <c r="L33" i="9" s="1"/>
  <c r="L31" i="3"/>
  <c r="L31" i="4" s="1"/>
  <c r="L31" i="5" s="1"/>
  <c r="L31" i="6" s="1"/>
  <c r="L31" i="7" s="1"/>
  <c r="L31" i="9" s="1"/>
  <c r="L29" i="3"/>
  <c r="L29" i="4" s="1"/>
  <c r="L29" i="5" s="1"/>
  <c r="L29" i="6" s="1"/>
  <c r="L29" i="7" s="1"/>
  <c r="L29" i="9" s="1"/>
  <c r="L28" i="3"/>
  <c r="L28" i="4" s="1"/>
  <c r="L28" i="5" s="1"/>
  <c r="L28" i="6" s="1"/>
  <c r="L28" i="7" s="1"/>
  <c r="L28" i="9" s="1"/>
  <c r="L25" i="3"/>
  <c r="L25" i="4" s="1"/>
  <c r="L25" i="5" s="1"/>
  <c r="L25" i="6" s="1"/>
  <c r="L25" i="7" s="1"/>
  <c r="L25" i="9" s="1"/>
  <c r="L24" i="3"/>
  <c r="L24" i="4" s="1"/>
  <c r="L24" i="5" s="1"/>
  <c r="L24" i="6" s="1"/>
  <c r="L24" i="7" s="1"/>
  <c r="L24" i="9" s="1"/>
  <c r="L23" i="3"/>
  <c r="L23" i="4" s="1"/>
  <c r="L23" i="5" s="1"/>
  <c r="L23" i="6" s="1"/>
  <c r="L23" i="7" s="1"/>
  <c r="L23" i="9" s="1"/>
  <c r="L19" i="3"/>
  <c r="L19" i="4" s="1"/>
  <c r="L19" i="5" s="1"/>
  <c r="L19" i="6" s="1"/>
  <c r="L19" i="7" s="1"/>
  <c r="L19" i="9" s="1"/>
  <c r="L18" i="3"/>
  <c r="L18" i="4" s="1"/>
  <c r="L18" i="5" s="1"/>
  <c r="L18" i="6" s="1"/>
  <c r="L18" i="7" s="1"/>
  <c r="L18" i="9" s="1"/>
  <c r="J43" i="3"/>
  <c r="J43" i="4" s="1"/>
  <c r="J41" i="3"/>
  <c r="J41" i="4" s="1"/>
  <c r="J40" i="3"/>
  <c r="J40" i="4" s="1"/>
  <c r="J39" i="3"/>
  <c r="J39" i="4" s="1"/>
  <c r="J38" i="3"/>
  <c r="J38" i="4" s="1"/>
  <c r="J37" i="3"/>
  <c r="J37" i="4" s="1"/>
  <c r="J34" i="3"/>
  <c r="J34" i="4" s="1"/>
  <c r="J33" i="3"/>
  <c r="J33" i="4" s="1"/>
  <c r="J32" i="3"/>
  <c r="J32" i="4" s="1"/>
  <c r="J32" i="5" s="1"/>
  <c r="J31" i="3"/>
  <c r="J31" i="4" s="1"/>
  <c r="J30" i="3"/>
  <c r="J30" i="4" s="1"/>
  <c r="J29" i="3"/>
  <c r="J29" i="4" s="1"/>
  <c r="J28" i="3"/>
  <c r="J28" i="4" s="1"/>
  <c r="J27" i="3"/>
  <c r="J27" i="4" s="1"/>
  <c r="J26" i="3"/>
  <c r="J26" i="4" s="1"/>
  <c r="J26" i="5" s="1"/>
  <c r="J25" i="3"/>
  <c r="J25" i="4" s="1"/>
  <c r="J24" i="3"/>
  <c r="J24" i="4" s="1"/>
  <c r="J23" i="3"/>
  <c r="J23" i="4" s="1"/>
  <c r="J22" i="3"/>
  <c r="J22" i="4" s="1"/>
  <c r="J21" i="3"/>
  <c r="J21" i="4" s="1"/>
  <c r="J20" i="3"/>
  <c r="J20" i="4" s="1"/>
  <c r="J19" i="3"/>
  <c r="J19" i="4" s="1"/>
  <c r="J18" i="3"/>
  <c r="J18" i="4" s="1"/>
  <c r="J18" i="5" s="1"/>
  <c r="J17" i="3"/>
  <c r="J17" i="4" s="1"/>
  <c r="J10" i="3"/>
  <c r="J10" i="4" s="1"/>
  <c r="J10" i="5" s="1"/>
  <c r="J7" i="3"/>
  <c r="J7" i="4" s="1"/>
  <c r="J6" i="3"/>
  <c r="J6" i="9" l="1"/>
  <c r="N6" i="9" s="1"/>
  <c r="N6" i="7"/>
  <c r="J10" i="6"/>
  <c r="J18" i="6"/>
  <c r="N18" i="5"/>
  <c r="J20" i="5"/>
  <c r="J22" i="5"/>
  <c r="J24" i="5"/>
  <c r="N24" i="4"/>
  <c r="J26" i="6"/>
  <c r="J28" i="5"/>
  <c r="N28" i="4"/>
  <c r="J30" i="5"/>
  <c r="J32" i="6"/>
  <c r="J34" i="5"/>
  <c r="J38" i="5"/>
  <c r="J40" i="5"/>
  <c r="N40" i="4"/>
  <c r="J43" i="5"/>
  <c r="N43" i="4"/>
  <c r="N18" i="4"/>
  <c r="J42" i="7"/>
  <c r="N42" i="6"/>
  <c r="J7" i="5"/>
  <c r="J17" i="5"/>
  <c r="J45" i="4"/>
  <c r="J19" i="5"/>
  <c r="N19" i="4"/>
  <c r="J21" i="5"/>
  <c r="J23" i="5"/>
  <c r="N23" i="4"/>
  <c r="J25" i="5"/>
  <c r="N25" i="4"/>
  <c r="J27" i="5"/>
  <c r="J29" i="5"/>
  <c r="N29" i="4"/>
  <c r="J31" i="5"/>
  <c r="N31" i="4"/>
  <c r="J33" i="5"/>
  <c r="N33" i="4"/>
  <c r="J37" i="5"/>
  <c r="J39" i="5"/>
  <c r="N39" i="4"/>
  <c r="J41" i="5"/>
  <c r="N41" i="4"/>
  <c r="G45" i="4"/>
  <c r="J45" i="3"/>
  <c r="N19" i="3"/>
  <c r="N28" i="3"/>
  <c r="N31" i="3"/>
  <c r="N39" i="3"/>
  <c r="N41" i="3"/>
  <c r="N6" i="3"/>
  <c r="N18" i="3"/>
  <c r="N25" i="3"/>
  <c r="N29" i="3"/>
  <c r="N33" i="3"/>
  <c r="N40" i="3"/>
  <c r="N24" i="3"/>
  <c r="N23" i="3"/>
  <c r="J41" i="6" l="1"/>
  <c r="N41" i="5"/>
  <c r="J39" i="6"/>
  <c r="N39" i="5"/>
  <c r="J37" i="6"/>
  <c r="N33" i="5"/>
  <c r="J33" i="6"/>
  <c r="J31" i="6"/>
  <c r="N31" i="5"/>
  <c r="N29" i="5"/>
  <c r="J29" i="6"/>
  <c r="J27" i="6"/>
  <c r="J25" i="6"/>
  <c r="N25" i="5"/>
  <c r="J23" i="6"/>
  <c r="N23" i="5"/>
  <c r="J21" i="6"/>
  <c r="J19" i="6"/>
  <c r="N19" i="5"/>
  <c r="J17" i="6"/>
  <c r="J45" i="5"/>
  <c r="J7" i="6"/>
  <c r="J42" i="9"/>
  <c r="N42" i="9" s="1"/>
  <c r="N42" i="7"/>
  <c r="J43" i="6"/>
  <c r="N43" i="5"/>
  <c r="J40" i="6"/>
  <c r="N40" i="5"/>
  <c r="J38" i="6"/>
  <c r="J34" i="6"/>
  <c r="J32" i="7"/>
  <c r="J30" i="6"/>
  <c r="J28" i="6"/>
  <c r="N28" i="5"/>
  <c r="J26" i="7"/>
  <c r="J24" i="6"/>
  <c r="N24" i="5"/>
  <c r="J22" i="6"/>
  <c r="J20" i="6"/>
  <c r="N18" i="6"/>
  <c r="J18" i="7"/>
  <c r="J10" i="7"/>
  <c r="C8" i="3"/>
  <c r="C12" i="3" s="1"/>
  <c r="P45" i="3"/>
  <c r="C45" i="3"/>
  <c r="E43" i="3"/>
  <c r="G43" i="3" s="1"/>
  <c r="G41" i="3"/>
  <c r="G40" i="3"/>
  <c r="G39" i="3"/>
  <c r="G38" i="3"/>
  <c r="E37" i="3"/>
  <c r="G37" i="3" s="1"/>
  <c r="E34" i="3"/>
  <c r="G34" i="3" s="1"/>
  <c r="G33" i="3"/>
  <c r="G32" i="3"/>
  <c r="E32" i="3"/>
  <c r="G31" i="3"/>
  <c r="G30" i="3"/>
  <c r="G29" i="3"/>
  <c r="G28" i="3"/>
  <c r="E27" i="3"/>
  <c r="G27" i="3" s="1"/>
  <c r="E26" i="3"/>
  <c r="G26" i="3" s="1"/>
  <c r="G25" i="3"/>
  <c r="G24" i="3"/>
  <c r="G23" i="3"/>
  <c r="E22" i="3"/>
  <c r="G22" i="3" s="1"/>
  <c r="E21" i="3"/>
  <c r="G21" i="3" s="1"/>
  <c r="E20" i="3"/>
  <c r="G20" i="3" s="1"/>
  <c r="G19" i="3"/>
  <c r="G18" i="3"/>
  <c r="E17" i="3"/>
  <c r="P12" i="3"/>
  <c r="E10" i="3"/>
  <c r="G10" i="3" s="1"/>
  <c r="G9" i="3"/>
  <c r="E8" i="3"/>
  <c r="E7" i="3"/>
  <c r="G6" i="3"/>
  <c r="J18" i="9" l="1"/>
  <c r="N18" i="9" s="1"/>
  <c r="N18" i="7"/>
  <c r="J32" i="9"/>
  <c r="J7" i="7"/>
  <c r="J21" i="7"/>
  <c r="J27" i="7"/>
  <c r="N29" i="6"/>
  <c r="J29" i="7"/>
  <c r="N33" i="6"/>
  <c r="J33" i="7"/>
  <c r="J10" i="9"/>
  <c r="J20" i="7"/>
  <c r="J22" i="7"/>
  <c r="N24" i="6"/>
  <c r="J24" i="7"/>
  <c r="J26" i="9"/>
  <c r="N28" i="6"/>
  <c r="J28" i="7"/>
  <c r="J30" i="7"/>
  <c r="J34" i="7"/>
  <c r="J38" i="7"/>
  <c r="N40" i="6"/>
  <c r="J40" i="7"/>
  <c r="J43" i="7"/>
  <c r="N43" i="6"/>
  <c r="J17" i="7"/>
  <c r="J45" i="6"/>
  <c r="N19" i="6"/>
  <c r="J19" i="7"/>
  <c r="N23" i="6"/>
  <c r="J23" i="7"/>
  <c r="N25" i="6"/>
  <c r="J25" i="7"/>
  <c r="J31" i="7"/>
  <c r="N31" i="6"/>
  <c r="J37" i="7"/>
  <c r="N39" i="6"/>
  <c r="J39" i="7"/>
  <c r="N41" i="6"/>
  <c r="J41" i="7"/>
  <c r="E12" i="3"/>
  <c r="E45" i="3"/>
  <c r="G8" i="3"/>
  <c r="G7" i="3"/>
  <c r="G17" i="3"/>
  <c r="G45" i="3" s="1"/>
  <c r="E38" i="1"/>
  <c r="L38" i="3" s="1"/>
  <c r="E43" i="1"/>
  <c r="L43" i="3" s="1"/>
  <c r="N43" i="3" s="1"/>
  <c r="E37" i="1"/>
  <c r="L37" i="3" s="1"/>
  <c r="E34" i="1"/>
  <c r="L34" i="3" s="1"/>
  <c r="E32" i="1"/>
  <c r="L32" i="3" s="1"/>
  <c r="E27" i="1"/>
  <c r="L27" i="3" s="1"/>
  <c r="E26" i="1"/>
  <c r="L26" i="3" s="1"/>
  <c r="E22" i="1"/>
  <c r="L22" i="3" s="1"/>
  <c r="E21" i="1"/>
  <c r="L21" i="3" s="1"/>
  <c r="E20" i="1"/>
  <c r="L20" i="3" s="1"/>
  <c r="L20" i="4" s="1"/>
  <c r="G41" i="1"/>
  <c r="G40" i="1"/>
  <c r="G39" i="1"/>
  <c r="G38" i="1"/>
  <c r="G37" i="1"/>
  <c r="G34" i="1"/>
  <c r="G33" i="1"/>
  <c r="G32" i="1"/>
  <c r="G31" i="1"/>
  <c r="G30" i="1"/>
  <c r="G29" i="1"/>
  <c r="G28" i="1"/>
  <c r="G26" i="1"/>
  <c r="G25" i="1"/>
  <c r="G24" i="1"/>
  <c r="G23" i="1"/>
  <c r="G21" i="1"/>
  <c r="G19" i="1"/>
  <c r="G18" i="1"/>
  <c r="E17" i="1"/>
  <c r="L17" i="3" s="1"/>
  <c r="E9" i="1"/>
  <c r="E10" i="1"/>
  <c r="E8" i="1"/>
  <c r="E7" i="1"/>
  <c r="L7" i="3" s="1"/>
  <c r="L7" i="4" s="1"/>
  <c r="P45" i="1"/>
  <c r="P12" i="1"/>
  <c r="G6" i="1"/>
  <c r="C45" i="1"/>
  <c r="C9" i="1"/>
  <c r="J9" i="3" s="1"/>
  <c r="J9" i="4" s="1"/>
  <c r="C8" i="1"/>
  <c r="J8" i="3" s="1"/>
  <c r="J8" i="4" s="1"/>
  <c r="J9" i="5" l="1"/>
  <c r="N21" i="3"/>
  <c r="L21" i="4"/>
  <c r="N26" i="3"/>
  <c r="L26" i="4"/>
  <c r="N32" i="3"/>
  <c r="L32" i="4"/>
  <c r="N37" i="3"/>
  <c r="L37" i="4"/>
  <c r="N38" i="3"/>
  <c r="L38" i="4"/>
  <c r="J41" i="9"/>
  <c r="N41" i="9" s="1"/>
  <c r="N41" i="7"/>
  <c r="J39" i="9"/>
  <c r="N39" i="9" s="1"/>
  <c r="N39" i="7"/>
  <c r="J37" i="9"/>
  <c r="J25" i="9"/>
  <c r="N25" i="9" s="1"/>
  <c r="N25" i="7"/>
  <c r="J23" i="9"/>
  <c r="N23" i="9" s="1"/>
  <c r="N23" i="7"/>
  <c r="J19" i="9"/>
  <c r="N19" i="9" s="1"/>
  <c r="N19" i="7"/>
  <c r="J17" i="9"/>
  <c r="J45" i="7"/>
  <c r="J43" i="9"/>
  <c r="N43" i="9" s="1"/>
  <c r="N43" i="7"/>
  <c r="J38" i="9"/>
  <c r="J34" i="9"/>
  <c r="J30" i="9"/>
  <c r="J20" i="9"/>
  <c r="J21" i="9"/>
  <c r="J8" i="5"/>
  <c r="J12" i="4"/>
  <c r="L7" i="5"/>
  <c r="N7" i="4"/>
  <c r="N17" i="3"/>
  <c r="L17" i="4"/>
  <c r="L20" i="5"/>
  <c r="N20" i="4"/>
  <c r="N22" i="3"/>
  <c r="L22" i="4"/>
  <c r="N27" i="3"/>
  <c r="L27" i="4"/>
  <c r="N34" i="3"/>
  <c r="L34" i="4"/>
  <c r="J31" i="9"/>
  <c r="N31" i="9" s="1"/>
  <c r="N31" i="7"/>
  <c r="J40" i="9"/>
  <c r="N40" i="9" s="1"/>
  <c r="N40" i="7"/>
  <c r="J28" i="9"/>
  <c r="N28" i="9" s="1"/>
  <c r="N28" i="7"/>
  <c r="J24" i="9"/>
  <c r="N24" i="9" s="1"/>
  <c r="N24" i="7"/>
  <c r="J22" i="9"/>
  <c r="J33" i="9"/>
  <c r="N33" i="9" s="1"/>
  <c r="N33" i="7"/>
  <c r="J29" i="9"/>
  <c r="N29" i="9" s="1"/>
  <c r="N29" i="7"/>
  <c r="J27" i="9"/>
  <c r="J7" i="9"/>
  <c r="G12" i="3"/>
  <c r="G20" i="1"/>
  <c r="G22" i="1"/>
  <c r="G17" i="1"/>
  <c r="G27" i="1"/>
  <c r="G43" i="1"/>
  <c r="N7" i="3"/>
  <c r="G9" i="1"/>
  <c r="G10" i="1"/>
  <c r="L10" i="3"/>
  <c r="E45" i="1"/>
  <c r="L30" i="3"/>
  <c r="J12" i="3"/>
  <c r="C12" i="1"/>
  <c r="G7" i="1"/>
  <c r="G8" i="1"/>
  <c r="L8" i="3"/>
  <c r="L8" i="4" s="1"/>
  <c r="L8" i="5" s="1"/>
  <c r="L8" i="6" s="1"/>
  <c r="L8" i="7" s="1"/>
  <c r="L8" i="9" s="1"/>
  <c r="E12" i="1"/>
  <c r="L9" i="3"/>
  <c r="N20" i="3"/>
  <c r="N9" i="3" l="1"/>
  <c r="L9" i="4"/>
  <c r="L20" i="6"/>
  <c r="N20" i="5"/>
  <c r="L7" i="6"/>
  <c r="N7" i="5"/>
  <c r="J8" i="6"/>
  <c r="N8" i="5"/>
  <c r="J12" i="5"/>
  <c r="L38" i="5"/>
  <c r="N38" i="4"/>
  <c r="L37" i="5"/>
  <c r="N37" i="4"/>
  <c r="L32" i="5"/>
  <c r="N32" i="4"/>
  <c r="L26" i="5"/>
  <c r="N26" i="4"/>
  <c r="L21" i="5"/>
  <c r="N21" i="4"/>
  <c r="N30" i="3"/>
  <c r="L30" i="4"/>
  <c r="N10" i="3"/>
  <c r="L10" i="4"/>
  <c r="N8" i="4"/>
  <c r="L34" i="5"/>
  <c r="N34" i="4"/>
  <c r="L27" i="5"/>
  <c r="N27" i="4"/>
  <c r="L22" i="5"/>
  <c r="N22" i="4"/>
  <c r="L17" i="5"/>
  <c r="L45" i="4"/>
  <c r="N17" i="4"/>
  <c r="J45" i="9"/>
  <c r="J9" i="6"/>
  <c r="J9" i="7" s="1"/>
  <c r="N45" i="3"/>
  <c r="G12" i="1"/>
  <c r="L45" i="3"/>
  <c r="G45" i="1"/>
  <c r="L12" i="3"/>
  <c r="N8" i="3"/>
  <c r="J9" i="9" l="1"/>
  <c r="L21" i="6"/>
  <c r="N21" i="5"/>
  <c r="L26" i="6"/>
  <c r="N26" i="5"/>
  <c r="L32" i="6"/>
  <c r="N32" i="5"/>
  <c r="L37" i="6"/>
  <c r="N37" i="5"/>
  <c r="L38" i="6"/>
  <c r="N38" i="5"/>
  <c r="L20" i="7"/>
  <c r="N20" i="6"/>
  <c r="L9" i="5"/>
  <c r="N9" i="4"/>
  <c r="N12" i="3"/>
  <c r="L17" i="6"/>
  <c r="N17" i="5"/>
  <c r="L22" i="6"/>
  <c r="N22" i="5"/>
  <c r="L27" i="6"/>
  <c r="N27" i="5"/>
  <c r="L34" i="6"/>
  <c r="N34" i="5"/>
  <c r="L10" i="5"/>
  <c r="N10" i="4"/>
  <c r="L30" i="5"/>
  <c r="N30" i="4"/>
  <c r="N45" i="4" s="1"/>
  <c r="N8" i="6"/>
  <c r="J8" i="7"/>
  <c r="J12" i="6"/>
  <c r="L7" i="7"/>
  <c r="N7" i="6"/>
  <c r="L12" i="4"/>
  <c r="N12" i="4" l="1"/>
  <c r="L30" i="6"/>
  <c r="N30" i="5"/>
  <c r="L10" i="6"/>
  <c r="N10" i="5"/>
  <c r="L34" i="7"/>
  <c r="N34" i="6"/>
  <c r="L27" i="7"/>
  <c r="N27" i="6"/>
  <c r="L22" i="7"/>
  <c r="N22" i="6"/>
  <c r="L45" i="5"/>
  <c r="L38" i="7"/>
  <c r="N38" i="6"/>
  <c r="L37" i="7"/>
  <c r="N37" i="6"/>
  <c r="L32" i="7"/>
  <c r="N32" i="6"/>
  <c r="L26" i="7"/>
  <c r="N26" i="6"/>
  <c r="L21" i="7"/>
  <c r="N21" i="6"/>
  <c r="L7" i="9"/>
  <c r="N7" i="7"/>
  <c r="J8" i="9"/>
  <c r="N8" i="7"/>
  <c r="J12" i="7"/>
  <c r="N45" i="5"/>
  <c r="L17" i="7"/>
  <c r="L45" i="6"/>
  <c r="N17" i="6"/>
  <c r="L9" i="6"/>
  <c r="N9" i="5"/>
  <c r="L12" i="5"/>
  <c r="L20" i="9"/>
  <c r="N20" i="9" s="1"/>
  <c r="N20" i="7"/>
  <c r="N9" i="6" l="1"/>
  <c r="L9" i="7"/>
  <c r="L12" i="6"/>
  <c r="N7" i="9"/>
  <c r="L21" i="9"/>
  <c r="N21" i="9" s="1"/>
  <c r="N21" i="7"/>
  <c r="L26" i="9"/>
  <c r="N26" i="9" s="1"/>
  <c r="N26" i="7"/>
  <c r="L32" i="9"/>
  <c r="N32" i="9" s="1"/>
  <c r="N32" i="7"/>
  <c r="L37" i="9"/>
  <c r="N37" i="9" s="1"/>
  <c r="N37" i="7"/>
  <c r="L38" i="9"/>
  <c r="N38" i="9" s="1"/>
  <c r="N38" i="7"/>
  <c r="N12" i="5"/>
  <c r="L17" i="9"/>
  <c r="N17" i="7"/>
  <c r="N8" i="9"/>
  <c r="J12" i="9"/>
  <c r="L22" i="9"/>
  <c r="N22" i="9" s="1"/>
  <c r="N22" i="7"/>
  <c r="L27" i="9"/>
  <c r="N27" i="9" s="1"/>
  <c r="N27" i="7"/>
  <c r="L34" i="9"/>
  <c r="N34" i="9" s="1"/>
  <c r="N34" i="7"/>
  <c r="L10" i="7"/>
  <c r="N10" i="6"/>
  <c r="L30" i="7"/>
  <c r="N30" i="6"/>
  <c r="N45" i="6" s="1"/>
  <c r="L30" i="9" l="1"/>
  <c r="N30" i="9" s="1"/>
  <c r="N30" i="7"/>
  <c r="N45" i="7" s="1"/>
  <c r="L10" i="9"/>
  <c r="N10" i="9" s="1"/>
  <c r="N10" i="7"/>
  <c r="L45" i="7"/>
  <c r="L9" i="9"/>
  <c r="N9" i="7"/>
  <c r="L12" i="7"/>
  <c r="L45" i="9"/>
  <c r="N17" i="9"/>
  <c r="N45" i="9" s="1"/>
  <c r="N12" i="6"/>
  <c r="N12" i="7" l="1"/>
  <c r="N9" i="9"/>
  <c r="N12" i="9" s="1"/>
  <c r="L12" i="9"/>
</calcChain>
</file>

<file path=xl/sharedStrings.xml><?xml version="1.0" encoding="utf-8"?>
<sst xmlns="http://schemas.openxmlformats.org/spreadsheetml/2006/main" count="658" uniqueCount="83">
  <si>
    <t>Revenues - July</t>
  </si>
  <si>
    <t>Property Tax</t>
  </si>
  <si>
    <t>Road Revenue</t>
  </si>
  <si>
    <t>Interest Income</t>
  </si>
  <si>
    <t>Insurance Tax</t>
  </si>
  <si>
    <t>Telecom Tax</t>
  </si>
  <si>
    <t>Total Revenue</t>
  </si>
  <si>
    <t>Expenses - July</t>
  </si>
  <si>
    <t>Compensation</t>
  </si>
  <si>
    <t xml:space="preserve">   - Clerk</t>
  </si>
  <si>
    <t xml:space="preserve">   - Mayor</t>
  </si>
  <si>
    <t xml:space="preserve">   - Commissioners</t>
  </si>
  <si>
    <t>Legal Fees</t>
  </si>
  <si>
    <t>LG&amp;E</t>
  </si>
  <si>
    <t>Rumpke</t>
  </si>
  <si>
    <t>Liability Insurance</t>
  </si>
  <si>
    <t>Worker's Comp</t>
  </si>
  <si>
    <t>Organization Dues</t>
  </si>
  <si>
    <t>Road Repairs</t>
  </si>
  <si>
    <t>Road Signage</t>
  </si>
  <si>
    <t>Snow/Ice Removal</t>
  </si>
  <si>
    <t>Sidewalk repair</t>
  </si>
  <si>
    <t>Postage</t>
  </si>
  <si>
    <t>Block Parties</t>
  </si>
  <si>
    <t>Tree Planting</t>
  </si>
  <si>
    <t>Jefferson Co Assessment</t>
  </si>
  <si>
    <t>Alley tree maintenance</t>
  </si>
  <si>
    <t>Miscellaneous Expenses</t>
  </si>
  <si>
    <t xml:space="preserve">   - Record storage</t>
  </si>
  <si>
    <t xml:space="preserve">   - Surety bond</t>
  </si>
  <si>
    <t xml:space="preserve">   - Newsletter</t>
  </si>
  <si>
    <t xml:space="preserve">   - Yard sale</t>
  </si>
  <si>
    <t xml:space="preserve">   - Other expenses</t>
  </si>
  <si>
    <t>Total Expenses</t>
  </si>
  <si>
    <t>Actual</t>
  </si>
  <si>
    <t>Budget</t>
  </si>
  <si>
    <t>Variance</t>
  </si>
  <si>
    <t xml:space="preserve">  - Grass cutting</t>
  </si>
  <si>
    <t>Bellewood Budget Comparison July 2013</t>
  </si>
  <si>
    <t xml:space="preserve"> </t>
  </si>
  <si>
    <t>YTD</t>
  </si>
  <si>
    <t>2013-2014 Budget</t>
  </si>
  <si>
    <t>YTD Budget Comparison</t>
  </si>
  <si>
    <t>Bellewood Budget Comparison August 2013</t>
  </si>
  <si>
    <t>Revenues - August</t>
  </si>
  <si>
    <t xml:space="preserve">   - New resident fruit basket</t>
  </si>
  <si>
    <t xml:space="preserve">   - New resident fruit baskets</t>
  </si>
  <si>
    <t>Expenses - August</t>
  </si>
  <si>
    <t>Bellewood Budget Comparison September 2013</t>
  </si>
  <si>
    <t>Revenues - September</t>
  </si>
  <si>
    <t>Expenses - September</t>
  </si>
  <si>
    <t>Bellewood Budget Comparison October 2013</t>
  </si>
  <si>
    <t>Revenues - October</t>
  </si>
  <si>
    <t>Expenses - October</t>
  </si>
  <si>
    <t>Bellewood Budget Comparison November 2013</t>
  </si>
  <si>
    <t>Revenues - November</t>
  </si>
  <si>
    <t>Expenses - November</t>
  </si>
  <si>
    <t>Bellewood Budget Comparison December 2013</t>
  </si>
  <si>
    <t>Revenues - December</t>
  </si>
  <si>
    <t>Expenses - December</t>
  </si>
  <si>
    <t>Bellewood Budget Comparison January 2014</t>
  </si>
  <si>
    <t>Revenues - January</t>
  </si>
  <si>
    <t>Expenses - January 2014</t>
  </si>
  <si>
    <t>Website maintenance</t>
  </si>
  <si>
    <t>Bellewood Budget Comparison February 2014</t>
  </si>
  <si>
    <t>Revenues - February</t>
  </si>
  <si>
    <t>Expenses - February 2014</t>
  </si>
  <si>
    <t>Bellewood Budget Comparison March 2014</t>
  </si>
  <si>
    <t>Revenues - March 2014</t>
  </si>
  <si>
    <t>Expenses - March 2014</t>
  </si>
  <si>
    <t>Note:  There were 3 duplicate property tax payments that totalled $1,040.89.  This amount was subtracted from March 2014 YTD Property Tax Revenues.  The refund amount was</t>
  </si>
  <si>
    <t>debited to "Other Expenses" in March and was also subtracted from March 2014 YTD Other Expenses.</t>
  </si>
  <si>
    <t>Bellewood Budget Comparison April 2014</t>
  </si>
  <si>
    <t>Revenues - April 2014</t>
  </si>
  <si>
    <t>Expenses - April 2014</t>
  </si>
  <si>
    <t>Bellewood Budget Comparison May 2014</t>
  </si>
  <si>
    <t>Revenues - May 2014</t>
  </si>
  <si>
    <t>Expenses - May 2014</t>
  </si>
  <si>
    <t>Note: Ck#2421 was written for $1,000 to Bailey Remodeling &amp; Construction to refund the bond that was deposited on 2/28/14 to the operating account but was never</t>
  </si>
  <si>
    <t>included in the operating account balance.</t>
  </si>
  <si>
    <t>Bellewood Budget Comparison June  2014</t>
  </si>
  <si>
    <t>Revenues - June 2014</t>
  </si>
  <si>
    <t>Expenses -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</si>
</sst>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0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topLeftCell="A15" workbookViewId="0">
      <selection activeCell="P36" sqref="P36"/>
    </sheetView>
  </sheetViews>
  <sheetFormatPr defaultRowHeight="15" x14ac:dyDescent="0.25"/>
  <cols>
    <col min="2" max="2" width="16.85546875" customWidth="1"/>
    <col min="3" max="3" width="10" style="3" bestFit="1" customWidth="1"/>
    <col min="5" max="5" width="10.5703125" style="3" bestFit="1" customWidth="1"/>
    <col min="7" max="7" width="9.140625" style="3"/>
    <col min="16" max="16" width="11.5703125" style="3" bestFit="1" customWidth="1"/>
  </cols>
  <sheetData>
    <row r="2" spans="1:16" x14ac:dyDescent="0.25">
      <c r="D2" s="1" t="s">
        <v>38</v>
      </c>
      <c r="K2" s="1" t="s">
        <v>42</v>
      </c>
    </row>
    <row r="3" spans="1:16" x14ac:dyDescent="0.25">
      <c r="D3" s="1" t="s">
        <v>39</v>
      </c>
      <c r="J3" s="5" t="s">
        <v>40</v>
      </c>
      <c r="L3" s="5" t="s">
        <v>40</v>
      </c>
      <c r="N3" s="5" t="s">
        <v>40</v>
      </c>
      <c r="P3" s="6" t="s">
        <v>41</v>
      </c>
    </row>
    <row r="4" spans="1:16" x14ac:dyDescent="0.25">
      <c r="C4" s="4" t="s">
        <v>34</v>
      </c>
      <c r="E4" s="4" t="s">
        <v>35</v>
      </c>
      <c r="G4" s="4" t="s">
        <v>36</v>
      </c>
      <c r="J4" s="4" t="s">
        <v>34</v>
      </c>
      <c r="L4" s="4" t="s">
        <v>35</v>
      </c>
      <c r="N4" s="4" t="s">
        <v>36</v>
      </c>
    </row>
    <row r="5" spans="1:16" x14ac:dyDescent="0.25">
      <c r="A5" s="1" t="s">
        <v>0</v>
      </c>
    </row>
    <row r="6" spans="1:16" x14ac:dyDescent="0.25">
      <c r="A6" t="s">
        <v>1</v>
      </c>
      <c r="C6" s="3">
        <v>0</v>
      </c>
      <c r="E6" s="3">
        <v>0</v>
      </c>
      <c r="G6" s="3">
        <f>C6-E6</f>
        <v>0</v>
      </c>
      <c r="P6" s="3">
        <v>42000</v>
      </c>
    </row>
    <row r="7" spans="1:16" x14ac:dyDescent="0.25">
      <c r="A7" t="s">
        <v>2</v>
      </c>
      <c r="C7" s="3">
        <v>684.31</v>
      </c>
      <c r="E7" s="3">
        <f>P7/12</f>
        <v>650</v>
      </c>
      <c r="G7" s="3">
        <f t="shared" ref="G7:G10" si="0">C7-E7</f>
        <v>34.309999999999945</v>
      </c>
      <c r="L7" t="s">
        <v>39</v>
      </c>
      <c r="P7" s="3">
        <v>7800</v>
      </c>
    </row>
    <row r="8" spans="1:16" x14ac:dyDescent="0.25">
      <c r="A8" t="s">
        <v>3</v>
      </c>
      <c r="C8" s="3">
        <f>14.49+6.51</f>
        <v>21</v>
      </c>
      <c r="E8" s="3">
        <f t="shared" ref="E8:E10" si="1">P8/12</f>
        <v>20</v>
      </c>
      <c r="G8" s="3">
        <f t="shared" si="0"/>
        <v>1</v>
      </c>
      <c r="P8" s="3">
        <v>240</v>
      </c>
    </row>
    <row r="9" spans="1:16" x14ac:dyDescent="0.25">
      <c r="A9" t="s">
        <v>4</v>
      </c>
      <c r="C9" s="3">
        <f>582.08+800.36+2087.93</f>
        <v>3470.37</v>
      </c>
      <c r="E9" s="3">
        <f>P9/4</f>
        <v>6375</v>
      </c>
      <c r="G9" s="3">
        <f t="shared" si="0"/>
        <v>-2904.63</v>
      </c>
      <c r="P9" s="3">
        <v>25500</v>
      </c>
    </row>
    <row r="10" spans="1:16" x14ac:dyDescent="0.25">
      <c r="A10" t="s">
        <v>5</v>
      </c>
      <c r="C10" s="3">
        <v>271.52999999999997</v>
      </c>
      <c r="E10" s="3">
        <f t="shared" si="1"/>
        <v>272</v>
      </c>
      <c r="G10" s="3">
        <f t="shared" si="0"/>
        <v>-0.47000000000002728</v>
      </c>
      <c r="P10" s="3">
        <v>3264</v>
      </c>
    </row>
    <row r="12" spans="1:16" x14ac:dyDescent="0.25">
      <c r="A12" s="1" t="s">
        <v>6</v>
      </c>
      <c r="C12" s="3">
        <f>SUM(C6:C10)</f>
        <v>4447.21</v>
      </c>
      <c r="E12" s="3">
        <f>SUM(E6:E10)</f>
        <v>7317</v>
      </c>
      <c r="G12" s="3">
        <f>SUM(G6:G10)</f>
        <v>-2869.79</v>
      </c>
      <c r="P12" s="3">
        <f>SUM(P6:P10)</f>
        <v>78804</v>
      </c>
    </row>
    <row r="15" spans="1:16" x14ac:dyDescent="0.25">
      <c r="A15" s="1" t="s">
        <v>7</v>
      </c>
    </row>
    <row r="16" spans="1:16" x14ac:dyDescent="0.25">
      <c r="A16" t="s">
        <v>8</v>
      </c>
    </row>
    <row r="17" spans="1:16" x14ac:dyDescent="0.25">
      <c r="A17" t="s">
        <v>9</v>
      </c>
      <c r="C17" s="3">
        <v>300</v>
      </c>
      <c r="E17" s="3">
        <f t="shared" ref="E17" si="2">P17/12</f>
        <v>300</v>
      </c>
      <c r="G17" s="3">
        <f t="shared" ref="G17:G43" si="3">C17-E17</f>
        <v>0</v>
      </c>
      <c r="P17" s="3">
        <v>3600</v>
      </c>
    </row>
    <row r="18" spans="1:16" x14ac:dyDescent="0.25">
      <c r="A18" t="s">
        <v>10</v>
      </c>
      <c r="C18" s="3">
        <v>0</v>
      </c>
      <c r="E18" s="3">
        <v>0</v>
      </c>
      <c r="G18" s="3">
        <f t="shared" si="3"/>
        <v>0</v>
      </c>
      <c r="P18" s="3">
        <v>6000</v>
      </c>
    </row>
    <row r="19" spans="1:16" x14ac:dyDescent="0.25">
      <c r="A19" t="s">
        <v>11</v>
      </c>
      <c r="C19" s="3">
        <v>0</v>
      </c>
      <c r="E19" s="3">
        <v>0</v>
      </c>
      <c r="G19" s="3">
        <f t="shared" si="3"/>
        <v>0</v>
      </c>
      <c r="P19" s="3">
        <v>3000</v>
      </c>
    </row>
    <row r="20" spans="1:16" x14ac:dyDescent="0.25">
      <c r="A20" t="s">
        <v>12</v>
      </c>
      <c r="C20" s="3">
        <v>0</v>
      </c>
      <c r="E20" s="3">
        <f>P20/12</f>
        <v>166.66666666666666</v>
      </c>
      <c r="G20" s="3">
        <f t="shared" si="3"/>
        <v>-166.66666666666666</v>
      </c>
      <c r="P20" s="3">
        <v>2000</v>
      </c>
    </row>
    <row r="21" spans="1:16" x14ac:dyDescent="0.25">
      <c r="A21" t="s">
        <v>13</v>
      </c>
      <c r="C21" s="3">
        <v>434.89</v>
      </c>
      <c r="E21" s="3">
        <f t="shared" ref="E21:E22" si="4">P21/12</f>
        <v>435</v>
      </c>
      <c r="G21" s="3">
        <f t="shared" si="3"/>
        <v>-0.11000000000001364</v>
      </c>
      <c r="P21" s="3">
        <v>5220</v>
      </c>
    </row>
    <row r="22" spans="1:16" x14ac:dyDescent="0.25">
      <c r="A22" t="s">
        <v>14</v>
      </c>
      <c r="C22" s="3">
        <v>2767.5</v>
      </c>
      <c r="E22" s="3">
        <f t="shared" si="4"/>
        <v>2767.5</v>
      </c>
      <c r="G22" s="3">
        <f t="shared" si="3"/>
        <v>0</v>
      </c>
      <c r="P22" s="3">
        <v>33210</v>
      </c>
    </row>
    <row r="23" spans="1:16" x14ac:dyDescent="0.25">
      <c r="A23" t="s">
        <v>15</v>
      </c>
      <c r="C23" s="3">
        <v>3652</v>
      </c>
      <c r="E23" s="3">
        <v>3652</v>
      </c>
      <c r="G23" s="3">
        <f t="shared" si="3"/>
        <v>0</v>
      </c>
      <c r="P23" s="3">
        <v>3652</v>
      </c>
    </row>
    <row r="24" spans="1:16" x14ac:dyDescent="0.25">
      <c r="A24" t="s">
        <v>16</v>
      </c>
      <c r="C24" s="3">
        <v>531</v>
      </c>
      <c r="E24" s="3">
        <v>531</v>
      </c>
      <c r="G24" s="3">
        <f t="shared" si="3"/>
        <v>0</v>
      </c>
      <c r="P24" s="3">
        <v>531</v>
      </c>
    </row>
    <row r="25" spans="1:16" x14ac:dyDescent="0.25">
      <c r="A25" t="s">
        <v>17</v>
      </c>
      <c r="C25" s="3">
        <v>0</v>
      </c>
      <c r="E25" s="3">
        <v>0</v>
      </c>
      <c r="G25" s="3">
        <f t="shared" si="3"/>
        <v>0</v>
      </c>
      <c r="P25" s="3">
        <v>435</v>
      </c>
    </row>
    <row r="26" spans="1:16" x14ac:dyDescent="0.25">
      <c r="A26" t="s">
        <v>18</v>
      </c>
      <c r="C26" s="3">
        <v>108.06</v>
      </c>
      <c r="E26" s="3">
        <f t="shared" ref="E26:E43" si="5">P26/12</f>
        <v>583.33333333333337</v>
      </c>
      <c r="G26" s="3">
        <f t="shared" si="3"/>
        <v>-475.27333333333337</v>
      </c>
      <c r="P26" s="3">
        <v>7000</v>
      </c>
    </row>
    <row r="27" spans="1:16" x14ac:dyDescent="0.25">
      <c r="A27" t="s">
        <v>19</v>
      </c>
      <c r="C27" s="3">
        <v>0</v>
      </c>
      <c r="E27" s="3">
        <f t="shared" si="5"/>
        <v>125</v>
      </c>
      <c r="G27" s="3">
        <f t="shared" si="3"/>
        <v>-125</v>
      </c>
      <c r="P27" s="3">
        <v>1500</v>
      </c>
    </row>
    <row r="28" spans="1:16" x14ac:dyDescent="0.25">
      <c r="A28" t="s">
        <v>20</v>
      </c>
      <c r="C28" s="3">
        <v>0</v>
      </c>
      <c r="E28" s="3">
        <v>0</v>
      </c>
      <c r="G28" s="3">
        <f t="shared" si="3"/>
        <v>0</v>
      </c>
      <c r="P28" s="3">
        <v>5000</v>
      </c>
    </row>
    <row r="29" spans="1:16" x14ac:dyDescent="0.25">
      <c r="A29" t="s">
        <v>21</v>
      </c>
      <c r="C29" s="3">
        <v>0</v>
      </c>
      <c r="E29" s="3">
        <v>0</v>
      </c>
      <c r="G29" s="3">
        <f t="shared" si="3"/>
        <v>0</v>
      </c>
      <c r="P29" s="3">
        <v>2000</v>
      </c>
    </row>
    <row r="30" spans="1:16" x14ac:dyDescent="0.25">
      <c r="A30" t="s">
        <v>22</v>
      </c>
      <c r="C30" s="3">
        <v>0</v>
      </c>
      <c r="E30" s="2">
        <f>P30/12</f>
        <v>12.5</v>
      </c>
      <c r="G30" s="3">
        <f t="shared" si="3"/>
        <v>-12.5</v>
      </c>
      <c r="P30" s="3">
        <v>150</v>
      </c>
    </row>
    <row r="31" spans="1:16" x14ac:dyDescent="0.25">
      <c r="A31" t="s">
        <v>23</v>
      </c>
      <c r="C31" s="3">
        <v>0</v>
      </c>
      <c r="E31" s="3">
        <v>0</v>
      </c>
      <c r="G31" s="3">
        <f t="shared" si="3"/>
        <v>0</v>
      </c>
      <c r="P31" s="3">
        <v>1200</v>
      </c>
    </row>
    <row r="32" spans="1:16" x14ac:dyDescent="0.25">
      <c r="A32" t="s">
        <v>24</v>
      </c>
      <c r="C32" s="3">
        <v>150</v>
      </c>
      <c r="E32" s="3">
        <f t="shared" si="5"/>
        <v>125</v>
      </c>
      <c r="G32" s="3">
        <f t="shared" si="3"/>
        <v>25</v>
      </c>
      <c r="P32" s="3">
        <v>1500</v>
      </c>
    </row>
    <row r="33" spans="1:16" x14ac:dyDescent="0.25">
      <c r="A33" t="s">
        <v>25</v>
      </c>
      <c r="C33" s="3">
        <v>0</v>
      </c>
      <c r="E33" s="3">
        <v>0</v>
      </c>
      <c r="G33" s="3">
        <f t="shared" si="3"/>
        <v>0</v>
      </c>
      <c r="P33" s="3">
        <v>1900</v>
      </c>
    </row>
    <row r="34" spans="1:16" x14ac:dyDescent="0.25">
      <c r="A34" t="s">
        <v>26</v>
      </c>
      <c r="C34" s="3">
        <v>675</v>
      </c>
      <c r="E34" s="3">
        <f t="shared" si="5"/>
        <v>833.33333333333337</v>
      </c>
      <c r="G34" s="3">
        <f t="shared" si="3"/>
        <v>-158.33333333333337</v>
      </c>
      <c r="P34" s="3">
        <v>10000</v>
      </c>
    </row>
    <row r="35" spans="1:16" x14ac:dyDescent="0.25">
      <c r="A35" t="s">
        <v>63</v>
      </c>
      <c r="C35" s="3">
        <v>0</v>
      </c>
      <c r="E35" s="3">
        <v>0</v>
      </c>
      <c r="G35" s="3">
        <v>0</v>
      </c>
      <c r="P35" s="3">
        <f>950*3</f>
        <v>2850</v>
      </c>
    </row>
    <row r="36" spans="1:16" x14ac:dyDescent="0.25">
      <c r="A36" t="s">
        <v>27</v>
      </c>
      <c r="G36" s="3" t="s">
        <v>39</v>
      </c>
    </row>
    <row r="37" spans="1:16" x14ac:dyDescent="0.25">
      <c r="A37" t="s">
        <v>28</v>
      </c>
      <c r="C37" s="3">
        <v>50</v>
      </c>
      <c r="E37" s="3">
        <f t="shared" si="5"/>
        <v>50</v>
      </c>
      <c r="G37" s="3">
        <f t="shared" si="3"/>
        <v>0</v>
      </c>
      <c r="P37" s="3">
        <v>600</v>
      </c>
    </row>
    <row r="38" spans="1:16" x14ac:dyDescent="0.25">
      <c r="A38" t="s">
        <v>37</v>
      </c>
      <c r="C38" s="3">
        <v>0</v>
      </c>
      <c r="E38" s="3">
        <f>P38/4</f>
        <v>106.25</v>
      </c>
      <c r="G38" s="3">
        <f t="shared" si="3"/>
        <v>-106.25</v>
      </c>
      <c r="P38" s="3">
        <v>425</v>
      </c>
    </row>
    <row r="39" spans="1:16" x14ac:dyDescent="0.25">
      <c r="A39" t="s">
        <v>29</v>
      </c>
      <c r="C39" s="3">
        <v>0</v>
      </c>
      <c r="E39" s="3">
        <v>0</v>
      </c>
      <c r="G39" s="3">
        <f t="shared" si="3"/>
        <v>0</v>
      </c>
      <c r="P39" s="3">
        <v>102</v>
      </c>
    </row>
    <row r="40" spans="1:16" x14ac:dyDescent="0.25">
      <c r="A40" t="s">
        <v>30</v>
      </c>
      <c r="C40" s="3">
        <v>0</v>
      </c>
      <c r="E40" s="3">
        <v>0</v>
      </c>
      <c r="G40" s="3">
        <f t="shared" si="3"/>
        <v>0</v>
      </c>
      <c r="P40" s="3">
        <v>200</v>
      </c>
    </row>
    <row r="41" spans="1:16" x14ac:dyDescent="0.25">
      <c r="A41" t="s">
        <v>31</v>
      </c>
      <c r="C41" s="3">
        <v>0</v>
      </c>
      <c r="E41" s="3">
        <v>0</v>
      </c>
      <c r="G41" s="3">
        <f t="shared" si="3"/>
        <v>0</v>
      </c>
      <c r="P41" s="3">
        <v>250</v>
      </c>
    </row>
    <row r="42" spans="1:16" x14ac:dyDescent="0.25">
      <c r="A42" t="s">
        <v>45</v>
      </c>
      <c r="C42" s="3">
        <v>0</v>
      </c>
      <c r="E42" s="3">
        <v>0</v>
      </c>
      <c r="G42" s="3">
        <f t="shared" si="3"/>
        <v>0</v>
      </c>
      <c r="P42" s="3">
        <v>500</v>
      </c>
    </row>
    <row r="43" spans="1:16" x14ac:dyDescent="0.25">
      <c r="A43" t="s">
        <v>32</v>
      </c>
      <c r="C43" s="3">
        <v>0</v>
      </c>
      <c r="E43" s="3">
        <f t="shared" si="5"/>
        <v>83.333333333333329</v>
      </c>
      <c r="G43" s="3">
        <f t="shared" si="3"/>
        <v>-83.333333333333329</v>
      </c>
      <c r="P43" s="3">
        <v>1000</v>
      </c>
    </row>
    <row r="45" spans="1:16" x14ac:dyDescent="0.25">
      <c r="A45" s="1" t="s">
        <v>33</v>
      </c>
      <c r="C45" s="3">
        <f>SUM(C17:C43)</f>
        <v>8668.4500000000007</v>
      </c>
      <c r="E45" s="3">
        <f>SUM(E17:E43)</f>
        <v>9770.9166666666679</v>
      </c>
      <c r="G45" s="4">
        <f>SUM(G17:G43)</f>
        <v>-1102.4666666666667</v>
      </c>
      <c r="P45" s="3">
        <f>SUM(P17:P43)</f>
        <v>93825</v>
      </c>
    </row>
  </sheetData>
  <pageMargins left="0" right="0" top="0" bottom="0" header="0.3" footer="0.3"/>
  <pageSetup scale="7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topLeftCell="A10" workbookViewId="0">
      <selection activeCell="J7" sqref="J7"/>
    </sheetView>
  </sheetViews>
  <sheetFormatPr defaultRowHeight="15" x14ac:dyDescent="0.25"/>
  <cols>
    <col min="2" max="2" width="16.85546875" customWidth="1"/>
    <col min="3" max="3" width="10" style="3" bestFit="1" customWidth="1"/>
    <col min="5" max="5" width="10.5703125" style="3" bestFit="1" customWidth="1"/>
    <col min="7" max="7" width="9.140625" style="3"/>
    <col min="10" max="10" width="10.85546875" customWidth="1"/>
    <col min="14" max="14" width="11.42578125" customWidth="1"/>
    <col min="16" max="16" width="11.5703125" style="3" bestFit="1" customWidth="1"/>
  </cols>
  <sheetData>
    <row r="2" spans="1:16" x14ac:dyDescent="0.25">
      <c r="D2" s="1" t="s">
        <v>72</v>
      </c>
      <c r="K2" s="1" t="s">
        <v>42</v>
      </c>
    </row>
    <row r="3" spans="1:16" x14ac:dyDescent="0.25">
      <c r="D3" s="1" t="s">
        <v>39</v>
      </c>
      <c r="J3" s="5" t="s">
        <v>40</v>
      </c>
      <c r="L3" s="5" t="s">
        <v>40</v>
      </c>
      <c r="N3" s="5" t="s">
        <v>40</v>
      </c>
      <c r="P3" s="6" t="s">
        <v>41</v>
      </c>
    </row>
    <row r="4" spans="1:16" x14ac:dyDescent="0.25">
      <c r="C4" s="4" t="s">
        <v>34</v>
      </c>
      <c r="E4" s="4" t="s">
        <v>35</v>
      </c>
      <c r="G4" s="4" t="s">
        <v>36</v>
      </c>
      <c r="J4" s="4" t="s">
        <v>34</v>
      </c>
      <c r="L4" s="4" t="s">
        <v>35</v>
      </c>
      <c r="N4" s="4" t="s">
        <v>36</v>
      </c>
    </row>
    <row r="5" spans="1:16" x14ac:dyDescent="0.25">
      <c r="A5" s="1" t="s">
        <v>73</v>
      </c>
    </row>
    <row r="6" spans="1:16" x14ac:dyDescent="0.25">
      <c r="A6" t="s">
        <v>1</v>
      </c>
      <c r="C6" s="3">
        <f>272.09+40</f>
        <v>312.08999999999997</v>
      </c>
      <c r="D6" t="s">
        <v>39</v>
      </c>
      <c r="E6" s="3">
        <v>0</v>
      </c>
      <c r="G6" s="3">
        <f>C6-E6</f>
        <v>312.08999999999997</v>
      </c>
      <c r="J6" s="7">
        <f>'March 2014'!J6+C6</f>
        <v>41215.109999999993</v>
      </c>
      <c r="L6" s="7">
        <f>'March 2014'!L6+E6</f>
        <v>42000</v>
      </c>
      <c r="N6" s="7">
        <f>J6-L6</f>
        <v>-784.89000000000669</v>
      </c>
      <c r="P6" s="3">
        <v>42000</v>
      </c>
    </row>
    <row r="7" spans="1:16" x14ac:dyDescent="0.25">
      <c r="A7" t="s">
        <v>2</v>
      </c>
      <c r="C7" s="3">
        <v>605.39</v>
      </c>
      <c r="E7" s="3">
        <f>P7/12</f>
        <v>650</v>
      </c>
      <c r="G7" s="3">
        <f t="shared" ref="G7:G10" si="0">C7-E7</f>
        <v>-44.610000000000014</v>
      </c>
      <c r="J7" s="7">
        <f>'March 2014'!J7+C7</f>
        <v>6470.6800000000012</v>
      </c>
      <c r="L7" s="7">
        <f>'March 2014'!L7+E7</f>
        <v>6500</v>
      </c>
      <c r="N7" s="7">
        <f t="shared" ref="N7:N10" si="1">J7-L7</f>
        <v>-29.319999999998799</v>
      </c>
      <c r="P7" s="3">
        <v>7800</v>
      </c>
    </row>
    <row r="8" spans="1:16" x14ac:dyDescent="0.25">
      <c r="A8" t="s">
        <v>3</v>
      </c>
      <c r="C8" s="3">
        <f>15.3+6.9</f>
        <v>22.200000000000003</v>
      </c>
      <c r="E8" s="3">
        <f t="shared" ref="E8:E10" si="2">P8/12</f>
        <v>20</v>
      </c>
      <c r="G8" s="3">
        <f t="shared" si="0"/>
        <v>2.2000000000000028</v>
      </c>
      <c r="J8" s="7">
        <f>'March 2014'!J8+C8</f>
        <v>205.48000000000002</v>
      </c>
      <c r="L8" s="7">
        <f>'March 2014'!L8+E8</f>
        <v>200</v>
      </c>
      <c r="N8" s="7">
        <f t="shared" si="1"/>
        <v>5.4800000000000182</v>
      </c>
      <c r="P8" s="3">
        <v>240</v>
      </c>
    </row>
    <row r="9" spans="1:16" x14ac:dyDescent="0.25">
      <c r="A9" t="s">
        <v>4</v>
      </c>
      <c r="C9" s="3">
        <f>383.1+3763.54</f>
        <v>4146.6400000000003</v>
      </c>
      <c r="E9" s="3">
        <f>P9/4</f>
        <v>6375</v>
      </c>
      <c r="G9" s="3">
        <f t="shared" si="0"/>
        <v>-2228.3599999999997</v>
      </c>
      <c r="J9" s="7">
        <f>'March 2014'!J9+C9</f>
        <v>25624.1</v>
      </c>
      <c r="L9" s="7">
        <f>'March 2014'!L9+E9</f>
        <v>25500</v>
      </c>
      <c r="N9" s="7">
        <f t="shared" si="1"/>
        <v>124.09999999999854</v>
      </c>
      <c r="P9" s="3">
        <v>25500</v>
      </c>
    </row>
    <row r="10" spans="1:16" x14ac:dyDescent="0.25">
      <c r="A10" t="s">
        <v>5</v>
      </c>
      <c r="C10" s="3">
        <v>271.52</v>
      </c>
      <c r="E10" s="3">
        <f t="shared" si="2"/>
        <v>272</v>
      </c>
      <c r="G10" s="3">
        <f t="shared" si="0"/>
        <v>-0.48000000000001819</v>
      </c>
      <c r="J10" s="7">
        <f>'March 2014'!J10+C10</f>
        <v>2715.4599999999996</v>
      </c>
      <c r="L10" s="7">
        <f>'March 2014'!L10+E10</f>
        <v>2720</v>
      </c>
      <c r="N10" s="7">
        <f t="shared" si="1"/>
        <v>-4.5400000000004184</v>
      </c>
      <c r="P10" s="3">
        <v>3264</v>
      </c>
    </row>
    <row r="12" spans="1:16" x14ac:dyDescent="0.25">
      <c r="A12" s="1" t="s">
        <v>6</v>
      </c>
      <c r="C12" s="3">
        <f>SUM(C6:C10)</f>
        <v>5357.84</v>
      </c>
      <c r="E12" s="3">
        <f>SUM(E6:E10)</f>
        <v>7317</v>
      </c>
      <c r="G12" s="3">
        <f>SUM(G6:G10)</f>
        <v>-1959.1599999999999</v>
      </c>
      <c r="J12" s="3">
        <f>SUM(J6:J10)</f>
        <v>76230.83</v>
      </c>
      <c r="L12" s="3">
        <f>SUM(L6:L10)</f>
        <v>76920</v>
      </c>
      <c r="N12" s="3">
        <f>SUM(N6:N10)</f>
        <v>-689.17000000000735</v>
      </c>
      <c r="P12" s="3">
        <f>SUM(P6:P10)</f>
        <v>78804</v>
      </c>
    </row>
    <row r="15" spans="1:16" x14ac:dyDescent="0.25">
      <c r="A15" s="1" t="s">
        <v>74</v>
      </c>
    </row>
    <row r="16" spans="1:16" x14ac:dyDescent="0.25">
      <c r="A16" t="s">
        <v>8</v>
      </c>
    </row>
    <row r="17" spans="1:16" x14ac:dyDescent="0.25">
      <c r="A17" t="s">
        <v>9</v>
      </c>
      <c r="C17" s="3">
        <v>500</v>
      </c>
      <c r="E17" s="3">
        <f t="shared" ref="E17" si="3">P17/12</f>
        <v>300</v>
      </c>
      <c r="G17" s="3">
        <f t="shared" ref="G17:G43" si="4">C17-E17</f>
        <v>200</v>
      </c>
      <c r="J17" s="7">
        <f>'March 2014'!J17+C17</f>
        <v>3735</v>
      </c>
      <c r="L17" s="7">
        <f>'March 2014'!L17+E17</f>
        <v>3000</v>
      </c>
      <c r="N17" s="7">
        <f t="shared" ref="N17:N43" si="5">J17-L17</f>
        <v>735</v>
      </c>
      <c r="P17" s="3">
        <v>3600</v>
      </c>
    </row>
    <row r="18" spans="1:16" x14ac:dyDescent="0.25">
      <c r="A18" t="s">
        <v>10</v>
      </c>
      <c r="C18" s="3">
        <v>0</v>
      </c>
      <c r="E18" s="3">
        <v>0</v>
      </c>
      <c r="G18" s="3">
        <f t="shared" si="4"/>
        <v>0</v>
      </c>
      <c r="J18" s="7">
        <f>'March 2014'!J18+C18</f>
        <v>4500</v>
      </c>
      <c r="L18" s="7">
        <f>'March 2014'!L18+E18</f>
        <v>4500</v>
      </c>
      <c r="N18" s="7">
        <f t="shared" si="5"/>
        <v>0</v>
      </c>
      <c r="P18" s="3">
        <v>6000</v>
      </c>
    </row>
    <row r="19" spans="1:16" x14ac:dyDescent="0.25">
      <c r="A19" t="s">
        <v>11</v>
      </c>
      <c r="C19" s="3">
        <v>0</v>
      </c>
      <c r="E19" s="3">
        <v>0</v>
      </c>
      <c r="G19" s="3">
        <f t="shared" si="4"/>
        <v>0</v>
      </c>
      <c r="J19" s="7">
        <f>'March 2014'!J19+C19</f>
        <v>1950</v>
      </c>
      <c r="L19" s="7">
        <f>'March 2014'!L19+E19</f>
        <v>2100</v>
      </c>
      <c r="N19" s="7">
        <f t="shared" si="5"/>
        <v>-150</v>
      </c>
      <c r="P19" s="3">
        <v>3000</v>
      </c>
    </row>
    <row r="20" spans="1:16" x14ac:dyDescent="0.25">
      <c r="A20" t="s">
        <v>12</v>
      </c>
      <c r="C20" s="3">
        <v>0</v>
      </c>
      <c r="E20" s="3">
        <f>P20/12</f>
        <v>166.66666666666666</v>
      </c>
      <c r="G20" s="3">
        <f t="shared" si="4"/>
        <v>-166.66666666666666</v>
      </c>
      <c r="J20" s="7">
        <f>'March 2014'!J20+C20</f>
        <v>0</v>
      </c>
      <c r="L20" s="7">
        <f>'March 2014'!L20+E20</f>
        <v>1666.6666666666667</v>
      </c>
      <c r="N20" s="7">
        <f t="shared" si="5"/>
        <v>-1666.6666666666667</v>
      </c>
      <c r="P20" s="3">
        <v>2000</v>
      </c>
    </row>
    <row r="21" spans="1:16" x14ac:dyDescent="0.25">
      <c r="A21" t="s">
        <v>13</v>
      </c>
      <c r="C21" s="3">
        <v>445.36</v>
      </c>
      <c r="E21" s="3">
        <f t="shared" ref="E21:E22" si="6">P21/12</f>
        <v>435</v>
      </c>
      <c r="G21" s="3">
        <f t="shared" si="4"/>
        <v>10.360000000000014</v>
      </c>
      <c r="J21" s="7">
        <f>'March 2014'!J21+C21</f>
        <v>4427.8999999999996</v>
      </c>
      <c r="L21" s="7">
        <f>'March 2014'!L21+E21</f>
        <v>4350</v>
      </c>
      <c r="N21" s="7">
        <f t="shared" si="5"/>
        <v>77.899999999999636</v>
      </c>
      <c r="P21" s="3">
        <v>5220</v>
      </c>
    </row>
    <row r="22" spans="1:16" x14ac:dyDescent="0.25">
      <c r="A22" t="s">
        <v>14</v>
      </c>
      <c r="C22" s="3">
        <v>2767.5</v>
      </c>
      <c r="E22" s="3">
        <f t="shared" si="6"/>
        <v>2767.5</v>
      </c>
      <c r="G22" s="3">
        <f t="shared" si="4"/>
        <v>0</v>
      </c>
      <c r="J22" s="7">
        <f>'March 2014'!J22+C22</f>
        <v>27675</v>
      </c>
      <c r="L22" s="7">
        <f>'March 2014'!L22+E22</f>
        <v>27675</v>
      </c>
      <c r="N22" s="7">
        <f t="shared" si="5"/>
        <v>0</v>
      </c>
      <c r="P22" s="3">
        <v>33210</v>
      </c>
    </row>
    <row r="23" spans="1:16" x14ac:dyDescent="0.25">
      <c r="A23" t="s">
        <v>15</v>
      </c>
      <c r="C23" s="3">
        <v>0</v>
      </c>
      <c r="E23" s="3">
        <v>0</v>
      </c>
      <c r="G23" s="3">
        <f t="shared" si="4"/>
        <v>0</v>
      </c>
      <c r="J23" s="7">
        <f>'March 2014'!J23+C23</f>
        <v>3652</v>
      </c>
      <c r="L23" s="7">
        <f>'March 2014'!L23+E23</f>
        <v>3652</v>
      </c>
      <c r="N23" s="7">
        <f t="shared" si="5"/>
        <v>0</v>
      </c>
      <c r="P23" s="3">
        <v>3652</v>
      </c>
    </row>
    <row r="24" spans="1:16" x14ac:dyDescent="0.25">
      <c r="A24" t="s">
        <v>16</v>
      </c>
      <c r="C24" s="3">
        <v>0</v>
      </c>
      <c r="E24" s="3">
        <v>0</v>
      </c>
      <c r="G24" s="3">
        <f t="shared" si="4"/>
        <v>0</v>
      </c>
      <c r="J24" s="7">
        <f>'March 2014'!J24+C24</f>
        <v>531</v>
      </c>
      <c r="L24" s="7">
        <f>'March 2014'!L24+E24</f>
        <v>531</v>
      </c>
      <c r="N24" s="7">
        <f t="shared" si="5"/>
        <v>0</v>
      </c>
      <c r="P24" s="3">
        <v>531</v>
      </c>
    </row>
    <row r="25" spans="1:16" x14ac:dyDescent="0.25">
      <c r="A25" t="s">
        <v>17</v>
      </c>
      <c r="C25" s="3">
        <v>0</v>
      </c>
      <c r="E25" s="3">
        <v>0</v>
      </c>
      <c r="G25" s="3">
        <f t="shared" si="4"/>
        <v>0</v>
      </c>
      <c r="J25" s="7">
        <f>'March 2014'!J25+C25</f>
        <v>335</v>
      </c>
      <c r="L25" s="7">
        <f>'March 2014'!L25+E25</f>
        <v>335</v>
      </c>
      <c r="N25" s="7">
        <f t="shared" si="5"/>
        <v>0</v>
      </c>
      <c r="P25" s="3">
        <v>435</v>
      </c>
    </row>
    <row r="26" spans="1:16" x14ac:dyDescent="0.25">
      <c r="A26" t="s">
        <v>18</v>
      </c>
      <c r="C26" s="3">
        <v>0</v>
      </c>
      <c r="E26" s="3">
        <f t="shared" ref="E26:E43" si="7">P26/12</f>
        <v>583.33333333333337</v>
      </c>
      <c r="G26" s="3">
        <f t="shared" si="4"/>
        <v>-583.33333333333337</v>
      </c>
      <c r="J26" s="7">
        <f>'March 2014'!J26+C26</f>
        <v>808.06</v>
      </c>
      <c r="L26" s="7">
        <f>'March 2014'!L26+E26</f>
        <v>5833.333333333333</v>
      </c>
      <c r="N26" s="7">
        <f t="shared" si="5"/>
        <v>-5025.2733333333326</v>
      </c>
      <c r="P26" s="3">
        <v>7000</v>
      </c>
    </row>
    <row r="27" spans="1:16" x14ac:dyDescent="0.25">
      <c r="A27" t="s">
        <v>19</v>
      </c>
      <c r="C27" s="3">
        <v>0</v>
      </c>
      <c r="E27" s="3">
        <f t="shared" si="7"/>
        <v>125</v>
      </c>
      <c r="G27" s="3">
        <f t="shared" si="4"/>
        <v>-125</v>
      </c>
      <c r="J27" s="7">
        <f>'March 2014'!J27+C27</f>
        <v>236.53</v>
      </c>
      <c r="L27" s="7">
        <f>'March 2014'!L27+E27</f>
        <v>1250</v>
      </c>
      <c r="N27" s="7">
        <f t="shared" si="5"/>
        <v>-1013.47</v>
      </c>
      <c r="P27" s="3">
        <v>1500</v>
      </c>
    </row>
    <row r="28" spans="1:16" x14ac:dyDescent="0.25">
      <c r="A28" t="s">
        <v>20</v>
      </c>
      <c r="C28" s="3">
        <v>0</v>
      </c>
      <c r="E28" s="3">
        <v>0</v>
      </c>
      <c r="G28" s="3">
        <f t="shared" si="4"/>
        <v>0</v>
      </c>
      <c r="J28" s="7">
        <f>'March 2014'!J28+C28</f>
        <v>3695.25</v>
      </c>
      <c r="L28" s="7">
        <f>'March 2014'!L28+E28</f>
        <v>5000</v>
      </c>
      <c r="N28" s="7">
        <f t="shared" si="5"/>
        <v>-1304.75</v>
      </c>
      <c r="P28" s="3">
        <v>5000</v>
      </c>
    </row>
    <row r="29" spans="1:16" x14ac:dyDescent="0.25">
      <c r="A29" t="s">
        <v>21</v>
      </c>
      <c r="C29" s="3">
        <v>0</v>
      </c>
      <c r="E29" s="3">
        <v>0</v>
      </c>
      <c r="G29" s="3">
        <f t="shared" si="4"/>
        <v>0</v>
      </c>
      <c r="J29" s="7">
        <f>'March 2014'!J29+C29</f>
        <v>0</v>
      </c>
      <c r="L29" s="7">
        <f>'March 2014'!L29+E29</f>
        <v>0</v>
      </c>
      <c r="N29" s="7">
        <f t="shared" si="5"/>
        <v>0</v>
      </c>
      <c r="P29" s="3">
        <v>2000</v>
      </c>
    </row>
    <row r="30" spans="1:16" x14ac:dyDescent="0.25">
      <c r="A30" t="s">
        <v>22</v>
      </c>
      <c r="C30" s="3">
        <f>1.61+19.47</f>
        <v>21.08</v>
      </c>
      <c r="E30" s="3">
        <f t="shared" si="7"/>
        <v>12.5</v>
      </c>
      <c r="G30" s="3">
        <f t="shared" si="4"/>
        <v>8.5799999999999983</v>
      </c>
      <c r="J30" s="7">
        <f>'March 2014'!J30+C30</f>
        <v>174.79000000000002</v>
      </c>
      <c r="L30" s="7">
        <f>'March 2014'!L30+E30</f>
        <v>125</v>
      </c>
      <c r="N30" s="7">
        <f t="shared" si="5"/>
        <v>49.79000000000002</v>
      </c>
      <c r="P30" s="3">
        <v>150</v>
      </c>
    </row>
    <row r="31" spans="1:16" x14ac:dyDescent="0.25">
      <c r="A31" t="s">
        <v>23</v>
      </c>
      <c r="C31" s="3">
        <v>0</v>
      </c>
      <c r="E31" s="3">
        <v>0</v>
      </c>
      <c r="G31" s="3">
        <f t="shared" si="4"/>
        <v>0</v>
      </c>
      <c r="J31" s="7">
        <f>'March 2014'!J31+C31</f>
        <v>282.29000000000002</v>
      </c>
      <c r="L31" s="7">
        <f>'March 2014'!L31+E31</f>
        <v>300</v>
      </c>
      <c r="N31" s="7">
        <f t="shared" si="5"/>
        <v>-17.70999999999998</v>
      </c>
      <c r="P31" s="3">
        <v>1200</v>
      </c>
    </row>
    <row r="32" spans="1:16" x14ac:dyDescent="0.25">
      <c r="A32" t="s">
        <v>24</v>
      </c>
      <c r="C32" s="3">
        <v>0</v>
      </c>
      <c r="E32" s="3">
        <f t="shared" si="7"/>
        <v>125</v>
      </c>
      <c r="G32" s="3">
        <f t="shared" si="4"/>
        <v>-125</v>
      </c>
      <c r="J32" s="7">
        <f>'March 2014'!J32+C32</f>
        <v>450</v>
      </c>
      <c r="L32" s="7">
        <f>'March 2014'!L32+E32</f>
        <v>1250</v>
      </c>
      <c r="N32" s="7">
        <f t="shared" si="5"/>
        <v>-800</v>
      </c>
      <c r="P32" s="3">
        <v>1500</v>
      </c>
    </row>
    <row r="33" spans="1:16" x14ac:dyDescent="0.25">
      <c r="A33" t="s">
        <v>25</v>
      </c>
      <c r="C33" s="3">
        <v>0</v>
      </c>
      <c r="E33" s="3">
        <v>0</v>
      </c>
      <c r="G33" s="3">
        <f t="shared" si="4"/>
        <v>0</v>
      </c>
      <c r="J33" s="7">
        <f>'March 2014'!J33+C33</f>
        <v>1829.03</v>
      </c>
      <c r="L33" s="7">
        <f>'March 2014'!L33+E33</f>
        <v>1900</v>
      </c>
      <c r="N33" s="7">
        <f t="shared" si="5"/>
        <v>-70.970000000000027</v>
      </c>
      <c r="P33" s="3">
        <v>1900</v>
      </c>
    </row>
    <row r="34" spans="1:16" x14ac:dyDescent="0.25">
      <c r="A34" t="s">
        <v>26</v>
      </c>
      <c r="C34" s="3">
        <v>0</v>
      </c>
      <c r="E34" s="3">
        <f t="shared" si="7"/>
        <v>833.33333333333337</v>
      </c>
      <c r="G34" s="3">
        <f t="shared" si="4"/>
        <v>-833.33333333333337</v>
      </c>
      <c r="J34" s="7">
        <f>'March 2014'!J34+C34</f>
        <v>7508.4699999999993</v>
      </c>
      <c r="L34" s="7">
        <f>'March 2014'!L34+E34</f>
        <v>8333.3333333333321</v>
      </c>
      <c r="N34" s="7">
        <f t="shared" si="5"/>
        <v>-824.86333333333278</v>
      </c>
      <c r="P34" s="3">
        <v>10000</v>
      </c>
    </row>
    <row r="35" spans="1:16" x14ac:dyDescent="0.25">
      <c r="A35" t="s">
        <v>63</v>
      </c>
      <c r="C35" s="3">
        <v>0</v>
      </c>
      <c r="E35" s="3">
        <v>0</v>
      </c>
      <c r="G35" s="3">
        <f t="shared" si="4"/>
        <v>0</v>
      </c>
      <c r="J35" s="7">
        <f>'March 2014'!J35+C35</f>
        <v>950</v>
      </c>
      <c r="L35" s="7">
        <f>'March 2014'!L35+E35</f>
        <v>950</v>
      </c>
      <c r="N35" s="7">
        <f t="shared" si="5"/>
        <v>0</v>
      </c>
      <c r="P35" s="3">
        <v>950</v>
      </c>
    </row>
    <row r="36" spans="1:16" x14ac:dyDescent="0.25">
      <c r="A36" t="s">
        <v>27</v>
      </c>
      <c r="G36" s="3" t="s">
        <v>39</v>
      </c>
      <c r="J36" s="7" t="s">
        <v>39</v>
      </c>
      <c r="L36" s="7" t="s">
        <v>39</v>
      </c>
      <c r="N36" s="7" t="s">
        <v>39</v>
      </c>
    </row>
    <row r="37" spans="1:16" x14ac:dyDescent="0.25">
      <c r="A37" t="s">
        <v>28</v>
      </c>
      <c r="C37" s="3">
        <v>0</v>
      </c>
      <c r="E37" s="3">
        <f t="shared" si="7"/>
        <v>50</v>
      </c>
      <c r="G37" s="3">
        <f t="shared" si="4"/>
        <v>-50</v>
      </c>
      <c r="J37" s="7">
        <f>'March 2014'!J37+C37</f>
        <v>550</v>
      </c>
      <c r="L37" s="7">
        <f>'March 2014'!L37+E37</f>
        <v>500</v>
      </c>
      <c r="N37" s="7">
        <f t="shared" si="5"/>
        <v>50</v>
      </c>
      <c r="P37" s="3">
        <v>600</v>
      </c>
    </row>
    <row r="38" spans="1:16" x14ac:dyDescent="0.25">
      <c r="A38" t="s">
        <v>37</v>
      </c>
      <c r="C38" s="3">
        <v>0</v>
      </c>
      <c r="E38" s="3">
        <v>0</v>
      </c>
      <c r="G38" s="3">
        <f t="shared" si="4"/>
        <v>0</v>
      </c>
      <c r="J38" s="7">
        <f>'March 2014'!J38+C38</f>
        <v>238</v>
      </c>
      <c r="L38" s="7">
        <f>'March 2014'!L38+E38</f>
        <v>212.5</v>
      </c>
      <c r="N38" s="7">
        <f t="shared" si="5"/>
        <v>25.5</v>
      </c>
      <c r="P38" s="3">
        <v>425</v>
      </c>
    </row>
    <row r="39" spans="1:16" x14ac:dyDescent="0.25">
      <c r="A39" t="s">
        <v>29</v>
      </c>
      <c r="C39" s="3">
        <v>0</v>
      </c>
      <c r="E39" s="3">
        <v>0</v>
      </c>
      <c r="G39" s="3">
        <f t="shared" si="4"/>
        <v>0</v>
      </c>
      <c r="J39" s="7">
        <f>'March 2014'!J39+C39</f>
        <v>101.8</v>
      </c>
      <c r="L39" s="7">
        <f>'March 2014'!L39+E39</f>
        <v>102</v>
      </c>
      <c r="N39" s="7">
        <f t="shared" si="5"/>
        <v>-0.20000000000000284</v>
      </c>
      <c r="P39" s="3">
        <v>102</v>
      </c>
    </row>
    <row r="40" spans="1:16" x14ac:dyDescent="0.25">
      <c r="A40" t="s">
        <v>30</v>
      </c>
      <c r="C40" s="3">
        <v>0</v>
      </c>
      <c r="E40" s="3">
        <v>0</v>
      </c>
      <c r="G40" s="3">
        <f t="shared" si="4"/>
        <v>0</v>
      </c>
      <c r="J40" s="7">
        <f>'March 2014'!J40+C40</f>
        <v>13.36</v>
      </c>
      <c r="L40" s="7">
        <f>'March 2014'!L40+E40</f>
        <v>0</v>
      </c>
      <c r="N40" s="7">
        <f t="shared" si="5"/>
        <v>13.36</v>
      </c>
      <c r="P40" s="3">
        <v>200</v>
      </c>
    </row>
    <row r="41" spans="1:16" x14ac:dyDescent="0.25">
      <c r="A41" t="s">
        <v>31</v>
      </c>
      <c r="C41" s="3">
        <v>0</v>
      </c>
      <c r="E41" s="3">
        <v>0</v>
      </c>
      <c r="G41" s="3">
        <f t="shared" si="4"/>
        <v>0</v>
      </c>
      <c r="J41" s="7">
        <f>'March 2014'!J41+C41</f>
        <v>0</v>
      </c>
      <c r="L41" s="7">
        <f>'March 2014'!L41+E41</f>
        <v>0</v>
      </c>
      <c r="N41" s="7">
        <f t="shared" si="5"/>
        <v>0</v>
      </c>
      <c r="P41" s="3">
        <v>250</v>
      </c>
    </row>
    <row r="42" spans="1:16" x14ac:dyDescent="0.25">
      <c r="A42" t="s">
        <v>46</v>
      </c>
      <c r="C42" s="3">
        <v>0</v>
      </c>
      <c r="E42" s="3">
        <f t="shared" si="7"/>
        <v>41.666666666666664</v>
      </c>
      <c r="G42" s="3">
        <f t="shared" si="4"/>
        <v>-41.666666666666664</v>
      </c>
      <c r="J42" s="7">
        <f>'March 2014'!J42+C42</f>
        <v>125</v>
      </c>
      <c r="L42" s="7">
        <f>'March 2014'!L42+E42</f>
        <v>375</v>
      </c>
      <c r="N42" s="7">
        <f t="shared" si="5"/>
        <v>-250</v>
      </c>
      <c r="P42" s="3">
        <v>500</v>
      </c>
    </row>
    <row r="43" spans="1:16" x14ac:dyDescent="0.25">
      <c r="A43" t="s">
        <v>32</v>
      </c>
      <c r="C43" s="3">
        <v>0</v>
      </c>
      <c r="E43" s="3">
        <f t="shared" si="7"/>
        <v>83.333333333333329</v>
      </c>
      <c r="G43" s="3">
        <f t="shared" si="4"/>
        <v>-83.333333333333329</v>
      </c>
      <c r="J43" s="7">
        <f>'March 2014'!J43+C43</f>
        <v>604.01999999999975</v>
      </c>
      <c r="L43" s="7">
        <f>'March 2014'!L43+E43</f>
        <v>750</v>
      </c>
      <c r="N43" s="7">
        <f t="shared" si="5"/>
        <v>-145.98000000000025</v>
      </c>
      <c r="P43" s="3">
        <v>1000</v>
      </c>
    </row>
    <row r="45" spans="1:16" x14ac:dyDescent="0.25">
      <c r="A45" s="1" t="s">
        <v>33</v>
      </c>
      <c r="C45" s="3">
        <f>SUM(C17:C43)</f>
        <v>3733.94</v>
      </c>
      <c r="E45" s="3">
        <f>SUM(E17:E43)</f>
        <v>5523.333333333333</v>
      </c>
      <c r="G45" s="4">
        <f>SUM(G17:G43)</f>
        <v>-1789.3933333333334</v>
      </c>
      <c r="J45" s="3">
        <f>SUM(J17:J43)</f>
        <v>64372.5</v>
      </c>
      <c r="L45" s="3">
        <f>SUM(L17:L43)</f>
        <v>74690.833333333328</v>
      </c>
      <c r="N45" s="4">
        <f>SUM(N17:N43)</f>
        <v>-10318.33333333333</v>
      </c>
      <c r="P45" s="3">
        <f>SUM(P17:P43)</f>
        <v>91925</v>
      </c>
    </row>
    <row r="48" spans="1:16" x14ac:dyDescent="0.25">
      <c r="A48" t="s">
        <v>39</v>
      </c>
    </row>
    <row r="49" spans="1:1" x14ac:dyDescent="0.25">
      <c r="A49" t="s">
        <v>39</v>
      </c>
    </row>
  </sheetData>
  <pageMargins left="0" right="0" top="0" bottom="0" header="0.3" footer="0.3"/>
  <pageSetup scale="8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topLeftCell="A16" workbookViewId="0">
      <selection activeCell="N36" sqref="N36"/>
    </sheetView>
  </sheetViews>
  <sheetFormatPr defaultRowHeight="15" x14ac:dyDescent="0.25"/>
  <cols>
    <col min="2" max="2" width="16.85546875" customWidth="1"/>
    <col min="3" max="3" width="10" style="3" bestFit="1" customWidth="1"/>
    <col min="5" max="5" width="10.5703125" style="3" bestFit="1" customWidth="1"/>
    <col min="7" max="7" width="9.140625" style="3"/>
    <col min="10" max="10" width="10.85546875" customWidth="1"/>
    <col min="14" max="14" width="11.42578125" customWidth="1"/>
    <col min="16" max="16" width="11.5703125" style="3" bestFit="1" customWidth="1"/>
  </cols>
  <sheetData>
    <row r="2" spans="1:16" x14ac:dyDescent="0.25">
      <c r="D2" s="1" t="s">
        <v>75</v>
      </c>
      <c r="K2" s="1" t="s">
        <v>42</v>
      </c>
    </row>
    <row r="3" spans="1:16" x14ac:dyDescent="0.25">
      <c r="D3" s="1" t="s">
        <v>39</v>
      </c>
      <c r="J3" s="5" t="s">
        <v>40</v>
      </c>
      <c r="L3" s="5" t="s">
        <v>40</v>
      </c>
      <c r="N3" s="5" t="s">
        <v>40</v>
      </c>
      <c r="P3" s="6" t="s">
        <v>41</v>
      </c>
    </row>
    <row r="4" spans="1:16" x14ac:dyDescent="0.25">
      <c r="C4" s="4" t="s">
        <v>34</v>
      </c>
      <c r="E4" s="4" t="s">
        <v>35</v>
      </c>
      <c r="G4" s="4" t="s">
        <v>36</v>
      </c>
      <c r="J4" s="4" t="s">
        <v>34</v>
      </c>
      <c r="L4" s="4" t="s">
        <v>35</v>
      </c>
      <c r="N4" s="4" t="s">
        <v>36</v>
      </c>
    </row>
    <row r="5" spans="1:16" x14ac:dyDescent="0.25">
      <c r="A5" s="1" t="s">
        <v>76</v>
      </c>
    </row>
    <row r="6" spans="1:16" x14ac:dyDescent="0.25">
      <c r="A6" t="s">
        <v>1</v>
      </c>
      <c r="C6" s="3">
        <v>16</v>
      </c>
      <c r="D6" t="s">
        <v>39</v>
      </c>
      <c r="E6" s="3">
        <v>0</v>
      </c>
      <c r="G6" s="3">
        <f>C6-E6</f>
        <v>16</v>
      </c>
      <c r="J6" s="7">
        <f>'April 2014'!J6+C6</f>
        <v>41231.109999999993</v>
      </c>
      <c r="L6" s="7">
        <f>'April 2014'!L6+E6</f>
        <v>42000</v>
      </c>
      <c r="N6" s="7">
        <f>J6-L6</f>
        <v>-768.89000000000669</v>
      </c>
      <c r="P6" s="3">
        <v>42000</v>
      </c>
    </row>
    <row r="7" spans="1:16" x14ac:dyDescent="0.25">
      <c r="A7" t="s">
        <v>2</v>
      </c>
      <c r="C7" s="3">
        <v>591.98</v>
      </c>
      <c r="E7" s="3">
        <f>P7/12</f>
        <v>650</v>
      </c>
      <c r="G7" s="3">
        <f t="shared" ref="G7:G10" si="0">C7-E7</f>
        <v>-58.019999999999982</v>
      </c>
      <c r="J7" s="7">
        <f>'April 2014'!J7+C7</f>
        <v>7062.6600000000017</v>
      </c>
      <c r="L7" s="7">
        <f>'April 2014'!L7+E7</f>
        <v>7150</v>
      </c>
      <c r="N7" s="7">
        <f t="shared" ref="N7:N10" si="1">J7-L7</f>
        <v>-87.339999999998327</v>
      </c>
      <c r="P7" s="3">
        <v>7800</v>
      </c>
    </row>
    <row r="8" spans="1:16" x14ac:dyDescent="0.25">
      <c r="A8" t="s">
        <v>3</v>
      </c>
      <c r="C8" s="3">
        <f>15.84+7.2</f>
        <v>23.04</v>
      </c>
      <c r="E8" s="3">
        <f t="shared" ref="E8:E10" si="2">P8/12</f>
        <v>20</v>
      </c>
      <c r="G8" s="3">
        <f t="shared" si="0"/>
        <v>3.0399999999999991</v>
      </c>
      <c r="J8" s="7">
        <f>'April 2014'!J8+C8</f>
        <v>228.52</v>
      </c>
      <c r="L8" s="7">
        <f>'April 2014'!L8+E8</f>
        <v>220</v>
      </c>
      <c r="N8" s="7">
        <f t="shared" si="1"/>
        <v>8.5200000000000102</v>
      </c>
      <c r="P8" s="3">
        <v>240</v>
      </c>
    </row>
    <row r="9" spans="1:16" x14ac:dyDescent="0.25">
      <c r="A9" t="s">
        <v>4</v>
      </c>
      <c r="C9" s="3">
        <v>1911.31</v>
      </c>
      <c r="E9" s="3">
        <v>0</v>
      </c>
      <c r="G9" s="3">
        <f t="shared" si="0"/>
        <v>1911.31</v>
      </c>
      <c r="J9" s="7">
        <f>'April 2014'!J9+C9</f>
        <v>27535.41</v>
      </c>
      <c r="L9" s="7">
        <f>'April 2014'!L9+E9</f>
        <v>25500</v>
      </c>
      <c r="N9" s="7">
        <f t="shared" si="1"/>
        <v>2035.4099999999999</v>
      </c>
      <c r="P9" s="3">
        <v>25500</v>
      </c>
    </row>
    <row r="10" spans="1:16" x14ac:dyDescent="0.25">
      <c r="A10" t="s">
        <v>5</v>
      </c>
      <c r="C10" s="3">
        <v>271.52</v>
      </c>
      <c r="E10" s="3">
        <f t="shared" si="2"/>
        <v>272</v>
      </c>
      <c r="G10" s="3">
        <f t="shared" si="0"/>
        <v>-0.48000000000001819</v>
      </c>
      <c r="J10" s="7">
        <f>'April 2014'!J10+C10</f>
        <v>2986.9799999999996</v>
      </c>
      <c r="L10" s="7">
        <f>'April 2014'!L10+E10</f>
        <v>2992</v>
      </c>
      <c r="N10" s="7">
        <f t="shared" si="1"/>
        <v>-5.0200000000004366</v>
      </c>
      <c r="P10" s="3">
        <v>3264</v>
      </c>
    </row>
    <row r="12" spans="1:16" x14ac:dyDescent="0.25">
      <c r="A12" s="1" t="s">
        <v>6</v>
      </c>
      <c r="C12" s="3">
        <f>SUM(C6:C10)</f>
        <v>2813.85</v>
      </c>
      <c r="E12" s="3">
        <f>SUM(E6:E10)</f>
        <v>942</v>
      </c>
      <c r="G12" s="3">
        <f>SUM(G6:G10)</f>
        <v>1871.85</v>
      </c>
      <c r="J12" s="3">
        <f>SUM(J6:J10)</f>
        <v>79044.679999999993</v>
      </c>
      <c r="L12" s="3">
        <f>SUM(L6:L10)</f>
        <v>77862</v>
      </c>
      <c r="N12" s="3">
        <f>SUM(N6:N10)</f>
        <v>1182.6799999999944</v>
      </c>
      <c r="P12" s="3">
        <f>SUM(P6:P10)</f>
        <v>78804</v>
      </c>
    </row>
    <row r="15" spans="1:16" x14ac:dyDescent="0.25">
      <c r="A15" s="1" t="s">
        <v>77</v>
      </c>
    </row>
    <row r="16" spans="1:16" x14ac:dyDescent="0.25">
      <c r="A16" t="s">
        <v>8</v>
      </c>
    </row>
    <row r="17" spans="1:16" x14ac:dyDescent="0.25">
      <c r="A17" t="s">
        <v>9</v>
      </c>
      <c r="C17" s="3">
        <v>500</v>
      </c>
      <c r="E17" s="3">
        <f t="shared" ref="E17" si="3">P17/12</f>
        <v>300</v>
      </c>
      <c r="G17" s="3">
        <f t="shared" ref="G17:G43" si="4">C17-E17</f>
        <v>200</v>
      </c>
      <c r="J17" s="7">
        <f>'April 2014'!J17+C17</f>
        <v>4235</v>
      </c>
      <c r="L17" s="7">
        <f>'April 2014'!L17+E17</f>
        <v>3300</v>
      </c>
      <c r="N17" s="7">
        <f t="shared" ref="N17:N43" si="5">J17-L17</f>
        <v>935</v>
      </c>
      <c r="P17" s="3">
        <v>3600</v>
      </c>
    </row>
    <row r="18" spans="1:16" x14ac:dyDescent="0.25">
      <c r="A18" t="s">
        <v>10</v>
      </c>
      <c r="C18" s="3">
        <v>1500</v>
      </c>
      <c r="E18" s="3">
        <v>1500</v>
      </c>
      <c r="G18" s="3">
        <f t="shared" si="4"/>
        <v>0</v>
      </c>
      <c r="J18" s="7">
        <f>'April 2014'!J18+C18</f>
        <v>6000</v>
      </c>
      <c r="L18" s="7">
        <f>'April 2014'!L18+E18</f>
        <v>6000</v>
      </c>
      <c r="N18" s="7">
        <f t="shared" si="5"/>
        <v>0</v>
      </c>
      <c r="P18" s="3">
        <v>6000</v>
      </c>
    </row>
    <row r="19" spans="1:16" x14ac:dyDescent="0.25">
      <c r="A19" t="s">
        <v>11</v>
      </c>
      <c r="C19" s="3">
        <v>0</v>
      </c>
      <c r="E19" s="3">
        <v>0</v>
      </c>
      <c r="G19" s="3">
        <f t="shared" si="4"/>
        <v>0</v>
      </c>
      <c r="J19" s="7">
        <f>'April 2014'!J19+C19</f>
        <v>1950</v>
      </c>
      <c r="L19" s="7">
        <f>'April 2014'!L19+E19</f>
        <v>2100</v>
      </c>
      <c r="N19" s="7">
        <f t="shared" si="5"/>
        <v>-150</v>
      </c>
      <c r="P19" s="3">
        <v>3000</v>
      </c>
    </row>
    <row r="20" spans="1:16" x14ac:dyDescent="0.25">
      <c r="A20" t="s">
        <v>12</v>
      </c>
      <c r="C20" s="3">
        <v>920</v>
      </c>
      <c r="E20" s="3">
        <f>P20/12</f>
        <v>166.66666666666666</v>
      </c>
      <c r="G20" s="3">
        <f t="shared" si="4"/>
        <v>753.33333333333337</v>
      </c>
      <c r="J20" s="7">
        <f>'April 2014'!J20+C20</f>
        <v>920</v>
      </c>
      <c r="L20" s="7">
        <f>'April 2014'!L20+E20</f>
        <v>1833.3333333333335</v>
      </c>
      <c r="N20" s="7">
        <f t="shared" si="5"/>
        <v>-913.33333333333348</v>
      </c>
      <c r="P20" s="3">
        <v>2000</v>
      </c>
    </row>
    <row r="21" spans="1:16" x14ac:dyDescent="0.25">
      <c r="A21" t="s">
        <v>13</v>
      </c>
      <c r="C21" s="3">
        <v>444.94</v>
      </c>
      <c r="E21" s="3">
        <f t="shared" ref="E21:E22" si="6">P21/12</f>
        <v>435</v>
      </c>
      <c r="G21" s="3">
        <f t="shared" si="4"/>
        <v>9.9399999999999977</v>
      </c>
      <c r="J21" s="7">
        <f>'April 2014'!J21+C21</f>
        <v>4872.8399999999992</v>
      </c>
      <c r="L21" s="7">
        <f>'April 2014'!L21+E21</f>
        <v>4785</v>
      </c>
      <c r="N21" s="7">
        <f t="shared" si="5"/>
        <v>87.839999999999236</v>
      </c>
      <c r="P21" s="3">
        <v>5220</v>
      </c>
    </row>
    <row r="22" spans="1:16" x14ac:dyDescent="0.25">
      <c r="A22" t="s">
        <v>14</v>
      </c>
      <c r="C22" s="3">
        <v>2767.5</v>
      </c>
      <c r="E22" s="3">
        <f t="shared" si="6"/>
        <v>2767.5</v>
      </c>
      <c r="G22" s="3">
        <f t="shared" si="4"/>
        <v>0</v>
      </c>
      <c r="J22" s="7">
        <f>'April 2014'!J22+C22</f>
        <v>30442.5</v>
      </c>
      <c r="L22" s="7">
        <f>'April 2014'!L22+E22</f>
        <v>30442.5</v>
      </c>
      <c r="N22" s="7">
        <f t="shared" si="5"/>
        <v>0</v>
      </c>
      <c r="P22" s="3">
        <v>33210</v>
      </c>
    </row>
    <row r="23" spans="1:16" x14ac:dyDescent="0.25">
      <c r="A23" t="s">
        <v>15</v>
      </c>
      <c r="C23" s="3">
        <v>0</v>
      </c>
      <c r="E23" s="3">
        <v>0</v>
      </c>
      <c r="G23" s="3">
        <f t="shared" si="4"/>
        <v>0</v>
      </c>
      <c r="J23" s="7">
        <f>'April 2014'!J23+C23</f>
        <v>3652</v>
      </c>
      <c r="L23" s="7">
        <f>'April 2014'!L23+E23</f>
        <v>3652</v>
      </c>
      <c r="N23" s="7">
        <f t="shared" si="5"/>
        <v>0</v>
      </c>
      <c r="P23" s="3">
        <v>3652</v>
      </c>
    </row>
    <row r="24" spans="1:16" x14ac:dyDescent="0.25">
      <c r="A24" t="s">
        <v>16</v>
      </c>
      <c r="C24" s="3">
        <v>0</v>
      </c>
      <c r="E24" s="3">
        <v>0</v>
      </c>
      <c r="G24" s="3">
        <f t="shared" si="4"/>
        <v>0</v>
      </c>
      <c r="J24" s="7">
        <f>'April 2014'!J24+C24</f>
        <v>531</v>
      </c>
      <c r="L24" s="7">
        <f>'April 2014'!L24+E24</f>
        <v>531</v>
      </c>
      <c r="N24" s="7">
        <f t="shared" si="5"/>
        <v>0</v>
      </c>
      <c r="P24" s="3">
        <v>531</v>
      </c>
    </row>
    <row r="25" spans="1:16" x14ac:dyDescent="0.25">
      <c r="A25" t="s">
        <v>17</v>
      </c>
      <c r="C25" s="3">
        <v>0</v>
      </c>
      <c r="E25" s="3">
        <v>0</v>
      </c>
      <c r="G25" s="3">
        <f t="shared" si="4"/>
        <v>0</v>
      </c>
      <c r="J25" s="7">
        <f>'April 2014'!J25+C25</f>
        <v>335</v>
      </c>
      <c r="L25" s="7">
        <f>'April 2014'!L25+E25</f>
        <v>335</v>
      </c>
      <c r="N25" s="7">
        <f t="shared" si="5"/>
        <v>0</v>
      </c>
      <c r="P25" s="3">
        <v>435</v>
      </c>
    </row>
    <row r="26" spans="1:16" x14ac:dyDescent="0.25">
      <c r="A26" t="s">
        <v>18</v>
      </c>
      <c r="C26" s="3">
        <v>0</v>
      </c>
      <c r="E26" s="3">
        <f t="shared" ref="E26:E43" si="7">P26/12</f>
        <v>583.33333333333337</v>
      </c>
      <c r="G26" s="3">
        <f t="shared" si="4"/>
        <v>-583.33333333333337</v>
      </c>
      <c r="J26" s="7">
        <f>'April 2014'!J26+C26</f>
        <v>808.06</v>
      </c>
      <c r="L26" s="7">
        <f>'April 2014'!L26+E26</f>
        <v>6416.6666666666661</v>
      </c>
      <c r="N26" s="7">
        <f t="shared" si="5"/>
        <v>-5608.6066666666666</v>
      </c>
      <c r="P26" s="3">
        <v>7000</v>
      </c>
    </row>
    <row r="27" spans="1:16" x14ac:dyDescent="0.25">
      <c r="A27" t="s">
        <v>19</v>
      </c>
      <c r="C27" s="3">
        <v>0</v>
      </c>
      <c r="E27" s="3">
        <f t="shared" si="7"/>
        <v>125</v>
      </c>
      <c r="G27" s="3">
        <f t="shared" si="4"/>
        <v>-125</v>
      </c>
      <c r="J27" s="7">
        <f>'April 2014'!J27+C27</f>
        <v>236.53</v>
      </c>
      <c r="L27" s="7">
        <f>'April 2014'!L27+E27</f>
        <v>1375</v>
      </c>
      <c r="N27" s="7">
        <f t="shared" si="5"/>
        <v>-1138.47</v>
      </c>
      <c r="P27" s="3">
        <v>1500</v>
      </c>
    </row>
    <row r="28" spans="1:16" x14ac:dyDescent="0.25">
      <c r="A28" t="s">
        <v>20</v>
      </c>
      <c r="C28" s="3">
        <v>0</v>
      </c>
      <c r="E28" s="3">
        <v>0</v>
      </c>
      <c r="G28" s="3">
        <f t="shared" si="4"/>
        <v>0</v>
      </c>
      <c r="J28" s="7">
        <f>'April 2014'!J28+C28</f>
        <v>3695.25</v>
      </c>
      <c r="L28" s="7">
        <f>'April 2014'!L28+E28</f>
        <v>5000</v>
      </c>
      <c r="N28" s="7">
        <f t="shared" si="5"/>
        <v>-1304.75</v>
      </c>
      <c r="P28" s="3">
        <v>5000</v>
      </c>
    </row>
    <row r="29" spans="1:16" x14ac:dyDescent="0.25">
      <c r="A29" t="s">
        <v>21</v>
      </c>
      <c r="C29" s="3">
        <v>0</v>
      </c>
      <c r="E29" s="3">
        <v>0</v>
      </c>
      <c r="G29" s="3">
        <f t="shared" si="4"/>
        <v>0</v>
      </c>
      <c r="J29" s="7">
        <f>'April 2014'!J29+C29</f>
        <v>0</v>
      </c>
      <c r="L29" s="7">
        <f>'April 2014'!L29+E29</f>
        <v>0</v>
      </c>
      <c r="N29" s="7">
        <f t="shared" si="5"/>
        <v>0</v>
      </c>
      <c r="P29" s="3">
        <v>2000</v>
      </c>
    </row>
    <row r="30" spans="1:16" x14ac:dyDescent="0.25">
      <c r="A30" t="s">
        <v>22</v>
      </c>
      <c r="C30" s="3">
        <v>0</v>
      </c>
      <c r="E30" s="3">
        <f t="shared" si="7"/>
        <v>12.5</v>
      </c>
      <c r="G30" s="3">
        <f t="shared" si="4"/>
        <v>-12.5</v>
      </c>
      <c r="J30" s="7">
        <f>'April 2014'!J30+C30</f>
        <v>174.79000000000002</v>
      </c>
      <c r="L30" s="7">
        <f>'April 2014'!L30+E30</f>
        <v>137.5</v>
      </c>
      <c r="N30" s="7">
        <f t="shared" si="5"/>
        <v>37.29000000000002</v>
      </c>
      <c r="P30" s="3">
        <v>150</v>
      </c>
    </row>
    <row r="31" spans="1:16" x14ac:dyDescent="0.25">
      <c r="A31" t="s">
        <v>23</v>
      </c>
      <c r="C31" s="3">
        <v>0</v>
      </c>
      <c r="E31" s="3">
        <v>0</v>
      </c>
      <c r="G31" s="3">
        <f t="shared" si="4"/>
        <v>0</v>
      </c>
      <c r="J31" s="7">
        <f>'April 2014'!J31+C31</f>
        <v>282.29000000000002</v>
      </c>
      <c r="L31" s="7">
        <f>'April 2014'!L31+E31</f>
        <v>300</v>
      </c>
      <c r="N31" s="7">
        <f t="shared" si="5"/>
        <v>-17.70999999999998</v>
      </c>
      <c r="P31" s="3">
        <v>1200</v>
      </c>
    </row>
    <row r="32" spans="1:16" x14ac:dyDescent="0.25">
      <c r="A32" t="s">
        <v>24</v>
      </c>
      <c r="C32" s="3">
        <v>0</v>
      </c>
      <c r="E32" s="3">
        <f t="shared" si="7"/>
        <v>125</v>
      </c>
      <c r="G32" s="3">
        <f t="shared" si="4"/>
        <v>-125</v>
      </c>
      <c r="J32" s="7">
        <f>'April 2014'!J32+C32</f>
        <v>450</v>
      </c>
      <c r="L32" s="7">
        <f>'April 2014'!L32+E32</f>
        <v>1375</v>
      </c>
      <c r="N32" s="7">
        <f t="shared" si="5"/>
        <v>-925</v>
      </c>
      <c r="P32" s="3">
        <v>1500</v>
      </c>
    </row>
    <row r="33" spans="1:16" x14ac:dyDescent="0.25">
      <c r="A33" t="s">
        <v>25</v>
      </c>
      <c r="C33" s="3">
        <v>0</v>
      </c>
      <c r="E33" s="3">
        <v>0</v>
      </c>
      <c r="G33" s="3">
        <f t="shared" si="4"/>
        <v>0</v>
      </c>
      <c r="J33" s="7">
        <f>'April 2014'!J33+C33</f>
        <v>1829.03</v>
      </c>
      <c r="L33" s="7">
        <f>'April 2014'!L33+E33</f>
        <v>1900</v>
      </c>
      <c r="N33" s="7">
        <f t="shared" si="5"/>
        <v>-70.970000000000027</v>
      </c>
      <c r="P33" s="3">
        <v>1900</v>
      </c>
    </row>
    <row r="34" spans="1:16" x14ac:dyDescent="0.25">
      <c r="A34" t="s">
        <v>26</v>
      </c>
      <c r="C34" s="3">
        <v>0</v>
      </c>
      <c r="E34" s="3">
        <f t="shared" si="7"/>
        <v>833.33333333333337</v>
      </c>
      <c r="G34" s="3">
        <f t="shared" si="4"/>
        <v>-833.33333333333337</v>
      </c>
      <c r="J34" s="7">
        <f>'April 2014'!J34+C34</f>
        <v>7508.4699999999993</v>
      </c>
      <c r="L34" s="7">
        <f>'April 2014'!L34+E34</f>
        <v>9166.6666666666661</v>
      </c>
      <c r="N34" s="7">
        <f t="shared" si="5"/>
        <v>-1658.1966666666667</v>
      </c>
      <c r="P34" s="3">
        <v>10000</v>
      </c>
    </row>
    <row r="35" spans="1:16" x14ac:dyDescent="0.25">
      <c r="A35" t="s">
        <v>63</v>
      </c>
      <c r="C35" s="3">
        <v>0</v>
      </c>
      <c r="E35" s="3">
        <v>0</v>
      </c>
      <c r="G35" s="3">
        <f t="shared" si="4"/>
        <v>0</v>
      </c>
      <c r="J35" s="7">
        <f>'April 2014'!J35+C35</f>
        <v>950</v>
      </c>
      <c r="L35" s="7">
        <f>'April 2014'!L35+E35</f>
        <v>950</v>
      </c>
      <c r="N35" s="7">
        <f t="shared" si="5"/>
        <v>0</v>
      </c>
      <c r="P35" s="3">
        <v>950</v>
      </c>
    </row>
    <row r="36" spans="1:16" x14ac:dyDescent="0.25">
      <c r="A36" t="s">
        <v>27</v>
      </c>
      <c r="G36" s="3" t="s">
        <v>39</v>
      </c>
      <c r="J36" s="7" t="s">
        <v>39</v>
      </c>
      <c r="L36" s="7" t="s">
        <v>39</v>
      </c>
      <c r="N36" s="7" t="s">
        <v>39</v>
      </c>
    </row>
    <row r="37" spans="1:16" x14ac:dyDescent="0.25">
      <c r="A37" t="s">
        <v>28</v>
      </c>
      <c r="C37" s="3">
        <v>0</v>
      </c>
      <c r="E37" s="3">
        <f t="shared" si="7"/>
        <v>50</v>
      </c>
      <c r="G37" s="3">
        <f t="shared" si="4"/>
        <v>-50</v>
      </c>
      <c r="J37" s="7">
        <f>'April 2014'!J37+C37</f>
        <v>550</v>
      </c>
      <c r="L37" s="7">
        <f>'April 2014'!L37+E37</f>
        <v>550</v>
      </c>
      <c r="N37" s="7">
        <f t="shared" si="5"/>
        <v>0</v>
      </c>
      <c r="P37" s="3">
        <v>600</v>
      </c>
    </row>
    <row r="38" spans="1:16" x14ac:dyDescent="0.25">
      <c r="A38" t="s">
        <v>37</v>
      </c>
      <c r="C38" s="3">
        <v>0</v>
      </c>
      <c r="E38" s="3">
        <v>0</v>
      </c>
      <c r="G38" s="3">
        <f t="shared" si="4"/>
        <v>0</v>
      </c>
      <c r="J38" s="7">
        <f>'April 2014'!J38+C38</f>
        <v>238</v>
      </c>
      <c r="L38" s="7">
        <f>'April 2014'!L38+E38</f>
        <v>212.5</v>
      </c>
      <c r="N38" s="7">
        <f t="shared" si="5"/>
        <v>25.5</v>
      </c>
      <c r="P38" s="3">
        <v>425</v>
      </c>
    </row>
    <row r="39" spans="1:16" x14ac:dyDescent="0.25">
      <c r="A39" t="s">
        <v>29</v>
      </c>
      <c r="C39" s="3">
        <v>0</v>
      </c>
      <c r="E39" s="3">
        <v>0</v>
      </c>
      <c r="G39" s="3">
        <f t="shared" si="4"/>
        <v>0</v>
      </c>
      <c r="J39" s="7">
        <f>'April 2014'!J39+C39</f>
        <v>101.8</v>
      </c>
      <c r="L39" s="7">
        <f>'April 2014'!L39+E39</f>
        <v>102</v>
      </c>
      <c r="N39" s="7">
        <f t="shared" si="5"/>
        <v>-0.20000000000000284</v>
      </c>
      <c r="P39" s="3">
        <v>102</v>
      </c>
    </row>
    <row r="40" spans="1:16" x14ac:dyDescent="0.25">
      <c r="A40" t="s">
        <v>30</v>
      </c>
      <c r="C40" s="3">
        <v>61.88</v>
      </c>
      <c r="E40" s="3">
        <v>0</v>
      </c>
      <c r="G40" s="3">
        <f t="shared" si="4"/>
        <v>61.88</v>
      </c>
      <c r="J40" s="7">
        <f>'April 2014'!J40+C40</f>
        <v>75.240000000000009</v>
      </c>
      <c r="L40" s="7">
        <f>'April 2014'!L40+E40</f>
        <v>0</v>
      </c>
      <c r="N40" s="7">
        <f t="shared" si="5"/>
        <v>75.240000000000009</v>
      </c>
      <c r="P40" s="3">
        <v>200</v>
      </c>
    </row>
    <row r="41" spans="1:16" x14ac:dyDescent="0.25">
      <c r="A41" t="s">
        <v>31</v>
      </c>
      <c r="C41" s="3">
        <v>0</v>
      </c>
      <c r="E41" s="3">
        <v>0</v>
      </c>
      <c r="G41" s="3">
        <f t="shared" si="4"/>
        <v>0</v>
      </c>
      <c r="J41" s="7">
        <f>'April 2014'!J41+C41</f>
        <v>0</v>
      </c>
      <c r="L41" s="7">
        <f>'April 2014'!L41+E41</f>
        <v>0</v>
      </c>
      <c r="N41" s="7">
        <f t="shared" si="5"/>
        <v>0</v>
      </c>
      <c r="P41" s="3">
        <v>250</v>
      </c>
    </row>
    <row r="42" spans="1:16" x14ac:dyDescent="0.25">
      <c r="A42" t="s">
        <v>46</v>
      </c>
      <c r="C42" s="3">
        <v>25</v>
      </c>
      <c r="E42" s="3">
        <f t="shared" si="7"/>
        <v>41.666666666666664</v>
      </c>
      <c r="G42" s="3">
        <f t="shared" si="4"/>
        <v>-16.666666666666664</v>
      </c>
      <c r="J42" s="7">
        <f>'April 2014'!J42+C42</f>
        <v>150</v>
      </c>
      <c r="L42" s="7">
        <f>'April 2014'!L42+E42</f>
        <v>416.66666666666669</v>
      </c>
      <c r="N42" s="7">
        <f t="shared" si="5"/>
        <v>-266.66666666666669</v>
      </c>
      <c r="P42" s="3">
        <v>500</v>
      </c>
    </row>
    <row r="43" spans="1:16" x14ac:dyDescent="0.25">
      <c r="A43" t="s">
        <v>32</v>
      </c>
      <c r="C43" s="3">
        <v>0</v>
      </c>
      <c r="E43" s="3">
        <f t="shared" si="7"/>
        <v>83.333333333333329</v>
      </c>
      <c r="G43" s="3">
        <f t="shared" si="4"/>
        <v>-83.333333333333329</v>
      </c>
      <c r="J43" s="7">
        <f>'April 2014'!J43+C43</f>
        <v>604.01999999999975</v>
      </c>
      <c r="L43" s="7">
        <f>'April 2014'!L43+E43</f>
        <v>833.33333333333337</v>
      </c>
      <c r="N43" s="7">
        <f t="shared" si="5"/>
        <v>-229.31333333333362</v>
      </c>
      <c r="P43" s="3">
        <v>1000</v>
      </c>
    </row>
    <row r="45" spans="1:16" x14ac:dyDescent="0.25">
      <c r="A45" s="1" t="s">
        <v>33</v>
      </c>
      <c r="C45" s="3">
        <f>SUM(C17:C43)</f>
        <v>6219.3200000000006</v>
      </c>
      <c r="E45" s="3">
        <f>SUM(E17:E43)</f>
        <v>7023.333333333333</v>
      </c>
      <c r="G45" s="4">
        <f>SUM(G17:G43)</f>
        <v>-804.01333333333343</v>
      </c>
      <c r="J45" s="3">
        <f>SUM(J17:J43)</f>
        <v>70591.820000000007</v>
      </c>
      <c r="L45" s="3">
        <f>SUM(L17:L43)</f>
        <v>81714.166666666672</v>
      </c>
      <c r="N45" s="4">
        <f>SUM(N17:N43)</f>
        <v>-11122.346666666668</v>
      </c>
      <c r="P45" s="3">
        <f>SUM(P17:P43)</f>
        <v>91925</v>
      </c>
    </row>
    <row r="48" spans="1:16" x14ac:dyDescent="0.25">
      <c r="A48" t="s">
        <v>78</v>
      </c>
    </row>
    <row r="49" spans="1:1" x14ac:dyDescent="0.25">
      <c r="A49" t="s">
        <v>79</v>
      </c>
    </row>
  </sheetData>
  <pageMargins left="0" right="0" top="0" bottom="0" header="0.3" footer="0.3"/>
  <pageSetup scale="80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tabSelected="1" workbookViewId="0">
      <selection activeCell="C1" sqref="C1"/>
    </sheetView>
  </sheetViews>
  <sheetFormatPr defaultRowHeight="15" x14ac:dyDescent="0.25"/>
  <cols>
    <col min="2" max="2" width="16.85546875" customWidth="1"/>
    <col min="3" max="3" width="10" style="3" bestFit="1" customWidth="1"/>
    <col min="5" max="5" width="10.5703125" style="3" bestFit="1" customWidth="1"/>
    <col min="7" max="7" width="9.140625" style="3"/>
    <col min="10" max="10" width="10.85546875" customWidth="1"/>
    <col min="14" max="14" width="11.42578125" customWidth="1"/>
    <col min="16" max="16" width="11.5703125" style="3" bestFit="1" customWidth="1"/>
  </cols>
  <sheetData>
    <row r="2" spans="1:16" x14ac:dyDescent="0.25">
      <c r="D2" s="1" t="s">
        <v>80</v>
      </c>
      <c r="K2" s="1" t="s">
        <v>42</v>
      </c>
    </row>
    <row r="3" spans="1:16" x14ac:dyDescent="0.25">
      <c r="D3" s="1" t="s">
        <v>39</v>
      </c>
      <c r="J3" s="5" t="s">
        <v>40</v>
      </c>
      <c r="L3" s="5" t="s">
        <v>40</v>
      </c>
      <c r="N3" s="5" t="s">
        <v>40</v>
      </c>
      <c r="P3" s="6" t="s">
        <v>41</v>
      </c>
    </row>
    <row r="4" spans="1:16" x14ac:dyDescent="0.25">
      <c r="C4" s="4" t="s">
        <v>34</v>
      </c>
      <c r="E4" s="4" t="s">
        <v>35</v>
      </c>
      <c r="G4" s="4" t="s">
        <v>36</v>
      </c>
      <c r="J4" s="4" t="s">
        <v>34</v>
      </c>
      <c r="L4" s="4" t="s">
        <v>35</v>
      </c>
      <c r="N4" s="4" t="s">
        <v>36</v>
      </c>
    </row>
    <row r="5" spans="1:16" x14ac:dyDescent="0.25">
      <c r="A5" s="1" t="s">
        <v>81</v>
      </c>
    </row>
    <row r="6" spans="1:16" x14ac:dyDescent="0.25">
      <c r="A6" t="s">
        <v>1</v>
      </c>
      <c r="C6" s="3">
        <v>16.25</v>
      </c>
      <c r="D6" t="s">
        <v>39</v>
      </c>
      <c r="E6" s="3">
        <v>0</v>
      </c>
      <c r="G6" s="3">
        <f>C6-E6</f>
        <v>16.25</v>
      </c>
      <c r="J6" s="7">
        <f>'May 2014'!J6+C6</f>
        <v>41247.359999999993</v>
      </c>
      <c r="L6" s="7">
        <f>'May 2014'!L6+E6</f>
        <v>42000</v>
      </c>
      <c r="N6" s="7">
        <f>J6-L6</f>
        <v>-752.64000000000669</v>
      </c>
      <c r="P6" s="3">
        <v>42000</v>
      </c>
    </row>
    <row r="7" spans="1:16" x14ac:dyDescent="0.25">
      <c r="A7" t="s">
        <v>2</v>
      </c>
      <c r="C7" s="3">
        <v>615.74</v>
      </c>
      <c r="E7" s="3">
        <f>P7/12</f>
        <v>650</v>
      </c>
      <c r="G7" s="3">
        <f t="shared" ref="G7:G10" si="0">C7-E7</f>
        <v>-34.259999999999991</v>
      </c>
      <c r="J7" s="7">
        <f>'May 2014'!J7+C7</f>
        <v>7678.4000000000015</v>
      </c>
      <c r="L7" s="7">
        <f>'May 2014'!L7+E7</f>
        <v>7800</v>
      </c>
      <c r="N7" s="7">
        <f t="shared" ref="N7:N10" si="1">J7-L7</f>
        <v>-121.59999999999854</v>
      </c>
      <c r="P7" s="3">
        <v>7800</v>
      </c>
    </row>
    <row r="8" spans="1:16" x14ac:dyDescent="0.25">
      <c r="A8" t="s">
        <v>3</v>
      </c>
      <c r="C8" s="3">
        <f>14.62+6.97</f>
        <v>21.59</v>
      </c>
      <c r="E8" s="3">
        <f t="shared" ref="E8:E10" si="2">P8/12</f>
        <v>20</v>
      </c>
      <c r="G8" s="3">
        <f t="shared" si="0"/>
        <v>1.5899999999999999</v>
      </c>
      <c r="J8" s="7">
        <f>'May 2014'!J8+C8</f>
        <v>250.11</v>
      </c>
      <c r="L8" s="7">
        <f>'May 2014'!L8+E8</f>
        <v>240</v>
      </c>
      <c r="N8" s="7">
        <f t="shared" si="1"/>
        <v>10.110000000000014</v>
      </c>
      <c r="P8" s="3">
        <v>240</v>
      </c>
    </row>
    <row r="9" spans="1:16" x14ac:dyDescent="0.25">
      <c r="A9" t="s">
        <v>4</v>
      </c>
      <c r="C9" s="3">
        <v>69.23</v>
      </c>
      <c r="E9" s="3">
        <v>0</v>
      </c>
      <c r="G9" s="3">
        <f t="shared" si="0"/>
        <v>69.23</v>
      </c>
      <c r="J9" s="7">
        <f>'May 2014'!J9+C9</f>
        <v>27604.639999999999</v>
      </c>
      <c r="L9" s="7">
        <f>'May 2014'!L9+E9</f>
        <v>25500</v>
      </c>
      <c r="N9" s="7">
        <f t="shared" si="1"/>
        <v>2104.6399999999994</v>
      </c>
      <c r="P9" s="3">
        <v>25500</v>
      </c>
    </row>
    <row r="10" spans="1:16" x14ac:dyDescent="0.25">
      <c r="A10" t="s">
        <v>5</v>
      </c>
      <c r="C10" s="3">
        <v>271.52</v>
      </c>
      <c r="E10" s="3">
        <f t="shared" si="2"/>
        <v>272</v>
      </c>
      <c r="G10" s="3">
        <f t="shared" si="0"/>
        <v>-0.48000000000001819</v>
      </c>
      <c r="J10" s="7">
        <f>'May 2014'!J10+C10</f>
        <v>3258.4999999999995</v>
      </c>
      <c r="L10" s="7">
        <f>'May 2014'!L10+E10</f>
        <v>3264</v>
      </c>
      <c r="N10" s="7">
        <f t="shared" si="1"/>
        <v>-5.5000000000004547</v>
      </c>
      <c r="P10" s="3">
        <v>3264</v>
      </c>
    </row>
    <row r="12" spans="1:16" x14ac:dyDescent="0.25">
      <c r="A12" s="1" t="s">
        <v>6</v>
      </c>
      <c r="C12" s="3">
        <f>SUM(C6:C10)</f>
        <v>994.33</v>
      </c>
      <c r="E12" s="3">
        <f>SUM(E6:E10)</f>
        <v>942</v>
      </c>
      <c r="G12" s="3">
        <f>SUM(G6:G10)</f>
        <v>52.33</v>
      </c>
      <c r="J12" s="3">
        <f>SUM(J6:J10)</f>
        <v>80039.009999999995</v>
      </c>
      <c r="L12" s="3">
        <f>SUM(L6:L10)</f>
        <v>78804</v>
      </c>
      <c r="N12" s="3">
        <f>SUM(N6:N10)</f>
        <v>1235.0099999999939</v>
      </c>
      <c r="P12" s="3">
        <f>SUM(P6:P10)</f>
        <v>78804</v>
      </c>
    </row>
    <row r="15" spans="1:16" x14ac:dyDescent="0.25">
      <c r="A15" s="1" t="s">
        <v>82</v>
      </c>
    </row>
    <row r="16" spans="1:16" x14ac:dyDescent="0.25">
      <c r="A16" t="s">
        <v>8</v>
      </c>
    </row>
    <row r="17" spans="1:16" x14ac:dyDescent="0.25">
      <c r="A17" t="s">
        <v>9</v>
      </c>
      <c r="C17" s="3">
        <v>300</v>
      </c>
      <c r="E17" s="3">
        <f t="shared" ref="E17" si="3">P17/12</f>
        <v>300</v>
      </c>
      <c r="G17" s="3">
        <f t="shared" ref="G17:G43" si="4">C17-E17</f>
        <v>0</v>
      </c>
      <c r="J17" s="7">
        <f>'May 2014'!J17+C17</f>
        <v>4535</v>
      </c>
      <c r="L17" s="7">
        <f>'May 2014'!L17+E17</f>
        <v>3600</v>
      </c>
      <c r="N17" s="7">
        <f t="shared" ref="N17:N43" si="5">J17-L17</f>
        <v>935</v>
      </c>
      <c r="P17" s="3">
        <v>3600</v>
      </c>
    </row>
    <row r="18" spans="1:16" x14ac:dyDescent="0.25">
      <c r="A18" t="s">
        <v>10</v>
      </c>
      <c r="C18" s="3">
        <v>0</v>
      </c>
      <c r="E18" s="3">
        <v>0</v>
      </c>
      <c r="G18" s="3">
        <f t="shared" si="4"/>
        <v>0</v>
      </c>
      <c r="J18" s="7">
        <f>'May 2014'!J18+C18</f>
        <v>6000</v>
      </c>
      <c r="L18" s="7">
        <f>'May 2014'!L18+E18</f>
        <v>6000</v>
      </c>
      <c r="N18" s="7">
        <f t="shared" si="5"/>
        <v>0</v>
      </c>
      <c r="P18" s="3">
        <v>6000</v>
      </c>
    </row>
    <row r="19" spans="1:16" x14ac:dyDescent="0.25">
      <c r="A19" t="s">
        <v>11</v>
      </c>
      <c r="C19" s="3">
        <f>225+225+225+150</f>
        <v>825</v>
      </c>
      <c r="E19" s="3">
        <f>75*4*3</f>
        <v>900</v>
      </c>
      <c r="G19" s="3">
        <f t="shared" si="4"/>
        <v>-75</v>
      </c>
      <c r="J19" s="7">
        <f>'May 2014'!J19+C19</f>
        <v>2775</v>
      </c>
      <c r="L19" s="7">
        <f>'May 2014'!L19+E19</f>
        <v>3000</v>
      </c>
      <c r="N19" s="7">
        <f t="shared" si="5"/>
        <v>-225</v>
      </c>
      <c r="P19" s="3">
        <v>3000</v>
      </c>
    </row>
    <row r="20" spans="1:16" x14ac:dyDescent="0.25">
      <c r="A20" t="s">
        <v>12</v>
      </c>
      <c r="C20" s="3">
        <v>0</v>
      </c>
      <c r="E20" s="3">
        <f>P20/12</f>
        <v>166.66666666666666</v>
      </c>
      <c r="G20" s="3">
        <f t="shared" si="4"/>
        <v>-166.66666666666666</v>
      </c>
      <c r="J20" s="7">
        <f>'May 2014'!J20+C20</f>
        <v>920</v>
      </c>
      <c r="L20" s="7">
        <f>'May 2014'!L20+E20</f>
        <v>2000.0000000000002</v>
      </c>
      <c r="N20" s="7">
        <f t="shared" si="5"/>
        <v>-1080.0000000000002</v>
      </c>
      <c r="P20" s="3">
        <v>2000</v>
      </c>
    </row>
    <row r="21" spans="1:16" x14ac:dyDescent="0.25">
      <c r="A21" t="s">
        <v>13</v>
      </c>
      <c r="C21" s="3">
        <v>446.77</v>
      </c>
      <c r="E21" s="3">
        <f t="shared" ref="E21:E22" si="6">P21/12</f>
        <v>435</v>
      </c>
      <c r="G21" s="3">
        <f t="shared" si="4"/>
        <v>11.769999999999982</v>
      </c>
      <c r="J21" s="7">
        <f>'May 2014'!J21+C21</f>
        <v>5319.6099999999988</v>
      </c>
      <c r="L21" s="7">
        <f>'May 2014'!L21+E21</f>
        <v>5220</v>
      </c>
      <c r="N21" s="7">
        <f t="shared" si="5"/>
        <v>99.609999999998763</v>
      </c>
      <c r="P21" s="3">
        <v>5220</v>
      </c>
    </row>
    <row r="22" spans="1:16" x14ac:dyDescent="0.25">
      <c r="A22" t="s">
        <v>14</v>
      </c>
      <c r="C22" s="3">
        <v>2767.5</v>
      </c>
      <c r="E22" s="3">
        <f t="shared" si="6"/>
        <v>2767.5</v>
      </c>
      <c r="G22" s="3">
        <f t="shared" si="4"/>
        <v>0</v>
      </c>
      <c r="J22" s="7">
        <f>'May 2014'!J22+C22</f>
        <v>33210</v>
      </c>
      <c r="L22" s="7">
        <f>'May 2014'!L22+E22</f>
        <v>33210</v>
      </c>
      <c r="N22" s="7">
        <f t="shared" si="5"/>
        <v>0</v>
      </c>
      <c r="P22" s="3">
        <v>33210</v>
      </c>
    </row>
    <row r="23" spans="1:16" x14ac:dyDescent="0.25">
      <c r="A23" t="s">
        <v>15</v>
      </c>
      <c r="C23" s="3">
        <v>0</v>
      </c>
      <c r="E23" s="3">
        <v>0</v>
      </c>
      <c r="G23" s="3">
        <f t="shared" si="4"/>
        <v>0</v>
      </c>
      <c r="J23" s="7">
        <f>'May 2014'!J23+C23</f>
        <v>3652</v>
      </c>
      <c r="L23" s="7">
        <f>'May 2014'!L23+E23</f>
        <v>3652</v>
      </c>
      <c r="N23" s="7">
        <f t="shared" si="5"/>
        <v>0</v>
      </c>
      <c r="P23" s="3">
        <v>3652</v>
      </c>
    </row>
    <row r="24" spans="1:16" x14ac:dyDescent="0.25">
      <c r="A24" t="s">
        <v>16</v>
      </c>
      <c r="C24" s="3">
        <v>0</v>
      </c>
      <c r="E24" s="3">
        <v>0</v>
      </c>
      <c r="G24" s="3">
        <f t="shared" si="4"/>
        <v>0</v>
      </c>
      <c r="J24" s="7">
        <f>'May 2014'!J24+C24</f>
        <v>531</v>
      </c>
      <c r="L24" s="7">
        <f>'May 2014'!L24+E24</f>
        <v>531</v>
      </c>
      <c r="N24" s="7">
        <f t="shared" si="5"/>
        <v>0</v>
      </c>
      <c r="P24" s="3">
        <v>531</v>
      </c>
    </row>
    <row r="25" spans="1:16" x14ac:dyDescent="0.25">
      <c r="A25" t="s">
        <v>17</v>
      </c>
      <c r="C25" s="3">
        <v>100</v>
      </c>
      <c r="E25" s="3">
        <v>100</v>
      </c>
      <c r="G25" s="3">
        <f t="shared" si="4"/>
        <v>0</v>
      </c>
      <c r="J25" s="7">
        <f>'May 2014'!J25+C25</f>
        <v>435</v>
      </c>
      <c r="L25" s="7">
        <f>'May 2014'!L25+E25</f>
        <v>435</v>
      </c>
      <c r="N25" s="7">
        <f t="shared" si="5"/>
        <v>0</v>
      </c>
      <c r="P25" s="3">
        <v>435</v>
      </c>
    </row>
    <row r="26" spans="1:16" x14ac:dyDescent="0.25">
      <c r="A26" t="s">
        <v>18</v>
      </c>
      <c r="C26" s="3">
        <v>850</v>
      </c>
      <c r="E26" s="3">
        <f t="shared" ref="E26:E43" si="7">P26/12</f>
        <v>583.33333333333337</v>
      </c>
      <c r="G26" s="3">
        <f t="shared" si="4"/>
        <v>266.66666666666663</v>
      </c>
      <c r="J26" s="7">
        <f>'May 2014'!J26+C26</f>
        <v>1658.06</v>
      </c>
      <c r="L26" s="7">
        <f>'May 2014'!L26+E26</f>
        <v>6999.9999999999991</v>
      </c>
      <c r="N26" s="7">
        <f t="shared" si="5"/>
        <v>-5341.9399999999987</v>
      </c>
      <c r="P26" s="3">
        <v>7000</v>
      </c>
    </row>
    <row r="27" spans="1:16" x14ac:dyDescent="0.25">
      <c r="A27" t="s">
        <v>19</v>
      </c>
      <c r="C27" s="3">
        <v>0</v>
      </c>
      <c r="E27" s="3">
        <f t="shared" si="7"/>
        <v>125</v>
      </c>
      <c r="G27" s="3">
        <f t="shared" si="4"/>
        <v>-125</v>
      </c>
      <c r="J27" s="7">
        <f>'May 2014'!J27+C27</f>
        <v>236.53</v>
      </c>
      <c r="L27" s="7">
        <f>'May 2014'!L27+E27</f>
        <v>1500</v>
      </c>
      <c r="N27" s="7">
        <f t="shared" si="5"/>
        <v>-1263.47</v>
      </c>
      <c r="P27" s="3">
        <v>1500</v>
      </c>
    </row>
    <row r="28" spans="1:16" x14ac:dyDescent="0.25">
      <c r="A28" t="s">
        <v>20</v>
      </c>
      <c r="C28" s="3">
        <v>0</v>
      </c>
      <c r="E28" s="3">
        <v>0</v>
      </c>
      <c r="G28" s="3">
        <f t="shared" si="4"/>
        <v>0</v>
      </c>
      <c r="J28" s="7">
        <f>'May 2014'!J28+C28</f>
        <v>3695.25</v>
      </c>
      <c r="L28" s="7">
        <f>'May 2014'!L28+E28</f>
        <v>5000</v>
      </c>
      <c r="N28" s="7">
        <f t="shared" si="5"/>
        <v>-1304.75</v>
      </c>
      <c r="P28" s="3">
        <v>5000</v>
      </c>
    </row>
    <row r="29" spans="1:16" x14ac:dyDescent="0.25">
      <c r="A29" t="s">
        <v>21</v>
      </c>
      <c r="C29" s="3">
        <v>525</v>
      </c>
      <c r="E29" s="3">
        <v>0</v>
      </c>
      <c r="G29" s="3">
        <f t="shared" si="4"/>
        <v>525</v>
      </c>
      <c r="J29" s="7">
        <f>'May 2014'!J29+C29</f>
        <v>525</v>
      </c>
      <c r="L29" s="7">
        <v>2000</v>
      </c>
      <c r="N29" s="7">
        <f t="shared" si="5"/>
        <v>-1475</v>
      </c>
      <c r="P29" s="3">
        <v>2000</v>
      </c>
    </row>
    <row r="30" spans="1:16" x14ac:dyDescent="0.25">
      <c r="A30" t="s">
        <v>22</v>
      </c>
      <c r="C30" s="3">
        <v>9.8000000000000007</v>
      </c>
      <c r="E30" s="3">
        <f t="shared" si="7"/>
        <v>12.5</v>
      </c>
      <c r="G30" s="3">
        <f t="shared" si="4"/>
        <v>-2.6999999999999993</v>
      </c>
      <c r="J30" s="7">
        <f>'May 2014'!J30+C30</f>
        <v>184.59000000000003</v>
      </c>
      <c r="L30" s="7">
        <f>'May 2014'!L30+E30</f>
        <v>150</v>
      </c>
      <c r="N30" s="7">
        <f t="shared" si="5"/>
        <v>34.590000000000032</v>
      </c>
      <c r="P30" s="3">
        <v>150</v>
      </c>
    </row>
    <row r="31" spans="1:16" x14ac:dyDescent="0.25">
      <c r="A31" t="s">
        <v>23</v>
      </c>
      <c r="C31" s="3">
        <v>0</v>
      </c>
      <c r="E31" s="3">
        <v>0</v>
      </c>
      <c r="G31" s="3">
        <f t="shared" si="4"/>
        <v>0</v>
      </c>
      <c r="J31" s="7">
        <f>'May 2014'!J31+C31</f>
        <v>282.29000000000002</v>
      </c>
      <c r="L31" s="7">
        <v>1200</v>
      </c>
      <c r="N31" s="7">
        <f t="shared" si="5"/>
        <v>-917.71</v>
      </c>
      <c r="P31" s="3">
        <v>1200</v>
      </c>
    </row>
    <row r="32" spans="1:16" x14ac:dyDescent="0.25">
      <c r="A32" t="s">
        <v>24</v>
      </c>
      <c r="C32" s="3">
        <v>0</v>
      </c>
      <c r="E32" s="3">
        <f t="shared" si="7"/>
        <v>125</v>
      </c>
      <c r="G32" s="3">
        <f t="shared" si="4"/>
        <v>-125</v>
      </c>
      <c r="J32" s="7">
        <f>'May 2014'!J32+C32</f>
        <v>450</v>
      </c>
      <c r="L32" s="7">
        <f>'May 2014'!L32+E32</f>
        <v>1500</v>
      </c>
      <c r="N32" s="7">
        <f t="shared" si="5"/>
        <v>-1050</v>
      </c>
      <c r="P32" s="3">
        <v>1500</v>
      </c>
    </row>
    <row r="33" spans="1:16" x14ac:dyDescent="0.25">
      <c r="A33" t="s">
        <v>25</v>
      </c>
      <c r="C33" s="3">
        <v>0</v>
      </c>
      <c r="E33" s="3">
        <v>0</v>
      </c>
      <c r="G33" s="3">
        <f t="shared" si="4"/>
        <v>0</v>
      </c>
      <c r="J33" s="7">
        <f>'May 2014'!J33+C33</f>
        <v>1829.03</v>
      </c>
      <c r="L33" s="7">
        <f>'May 2014'!L33+E33</f>
        <v>1900</v>
      </c>
      <c r="N33" s="7">
        <f t="shared" si="5"/>
        <v>-70.970000000000027</v>
      </c>
      <c r="P33" s="3">
        <v>1900</v>
      </c>
    </row>
    <row r="34" spans="1:16" x14ac:dyDescent="0.25">
      <c r="A34" t="s">
        <v>26</v>
      </c>
      <c r="C34" s="3">
        <v>0</v>
      </c>
      <c r="E34" s="3">
        <f t="shared" si="7"/>
        <v>833.33333333333337</v>
      </c>
      <c r="G34" s="3">
        <f t="shared" si="4"/>
        <v>-833.33333333333337</v>
      </c>
      <c r="J34" s="7">
        <f>'May 2014'!J34+C34</f>
        <v>7508.4699999999993</v>
      </c>
      <c r="L34" s="7">
        <f>'May 2014'!L34+E34</f>
        <v>10000</v>
      </c>
      <c r="N34" s="7">
        <f t="shared" si="5"/>
        <v>-2491.5300000000007</v>
      </c>
      <c r="P34" s="3">
        <v>10000</v>
      </c>
    </row>
    <row r="35" spans="1:16" x14ac:dyDescent="0.25">
      <c r="A35" t="s">
        <v>63</v>
      </c>
      <c r="C35" s="3">
        <v>0</v>
      </c>
      <c r="E35" s="3">
        <v>0</v>
      </c>
      <c r="G35" s="3">
        <f t="shared" si="4"/>
        <v>0</v>
      </c>
      <c r="J35" s="7">
        <f>'May 2014'!J35+C35</f>
        <v>950</v>
      </c>
      <c r="L35" s="7">
        <f>'May 2014'!L35+E35</f>
        <v>950</v>
      </c>
      <c r="N35" s="7">
        <f t="shared" si="5"/>
        <v>0</v>
      </c>
      <c r="P35" s="3">
        <v>950</v>
      </c>
    </row>
    <row r="36" spans="1:16" x14ac:dyDescent="0.25">
      <c r="A36" t="s">
        <v>27</v>
      </c>
      <c r="G36" s="3" t="s">
        <v>39</v>
      </c>
      <c r="J36" s="7" t="s">
        <v>39</v>
      </c>
      <c r="L36" s="7" t="s">
        <v>39</v>
      </c>
      <c r="N36" s="7" t="s">
        <v>39</v>
      </c>
    </row>
    <row r="37" spans="1:16" x14ac:dyDescent="0.25">
      <c r="A37" t="s">
        <v>28</v>
      </c>
      <c r="C37" s="3">
        <v>150</v>
      </c>
      <c r="E37" s="3">
        <f t="shared" si="7"/>
        <v>50</v>
      </c>
      <c r="G37" s="3">
        <f t="shared" si="4"/>
        <v>100</v>
      </c>
      <c r="J37" s="7">
        <f>'May 2014'!J37+C37</f>
        <v>700</v>
      </c>
      <c r="L37" s="7">
        <f>'May 2014'!L37+E37</f>
        <v>600</v>
      </c>
      <c r="N37" s="7">
        <f t="shared" si="5"/>
        <v>100</v>
      </c>
      <c r="P37" s="3">
        <v>600</v>
      </c>
    </row>
    <row r="38" spans="1:16" x14ac:dyDescent="0.25">
      <c r="A38" t="s">
        <v>37</v>
      </c>
      <c r="C38" s="3">
        <v>0</v>
      </c>
      <c r="E38" s="3">
        <v>0</v>
      </c>
      <c r="G38" s="3">
        <f t="shared" si="4"/>
        <v>0</v>
      </c>
      <c r="J38" s="7">
        <f>'May 2014'!J38+C38</f>
        <v>238</v>
      </c>
      <c r="L38" s="7">
        <v>425</v>
      </c>
      <c r="N38" s="7">
        <f t="shared" si="5"/>
        <v>-187</v>
      </c>
      <c r="P38" s="3">
        <v>425</v>
      </c>
    </row>
    <row r="39" spans="1:16" x14ac:dyDescent="0.25">
      <c r="A39" t="s">
        <v>29</v>
      </c>
      <c r="C39" s="3">
        <v>0</v>
      </c>
      <c r="E39" s="3">
        <v>0</v>
      </c>
      <c r="G39" s="3">
        <f t="shared" si="4"/>
        <v>0</v>
      </c>
      <c r="J39" s="7">
        <f>'May 2014'!J39+C39</f>
        <v>101.8</v>
      </c>
      <c r="L39" s="7">
        <f>'May 2014'!L39+E39</f>
        <v>102</v>
      </c>
      <c r="N39" s="7">
        <f t="shared" si="5"/>
        <v>-0.20000000000000284</v>
      </c>
      <c r="P39" s="3">
        <v>102</v>
      </c>
    </row>
    <row r="40" spans="1:16" x14ac:dyDescent="0.25">
      <c r="A40" t="s">
        <v>30</v>
      </c>
      <c r="C40" s="3">
        <v>0</v>
      </c>
      <c r="E40" s="3">
        <v>0</v>
      </c>
      <c r="G40" s="3">
        <f t="shared" si="4"/>
        <v>0</v>
      </c>
      <c r="J40" s="7">
        <f>'May 2014'!J40+C40</f>
        <v>75.240000000000009</v>
      </c>
      <c r="L40" s="7">
        <v>200</v>
      </c>
      <c r="N40" s="7">
        <f t="shared" si="5"/>
        <v>-124.75999999999999</v>
      </c>
      <c r="P40" s="3">
        <v>200</v>
      </c>
    </row>
    <row r="41" spans="1:16" x14ac:dyDescent="0.25">
      <c r="A41" t="s">
        <v>31</v>
      </c>
      <c r="C41" s="3">
        <v>27.33</v>
      </c>
      <c r="E41" s="3">
        <v>0</v>
      </c>
      <c r="G41" s="3">
        <f t="shared" si="4"/>
        <v>27.33</v>
      </c>
      <c r="J41" s="7">
        <f>'May 2014'!J41+C41</f>
        <v>27.33</v>
      </c>
      <c r="L41" s="7">
        <v>250</v>
      </c>
      <c r="N41" s="7">
        <f t="shared" si="5"/>
        <v>-222.67000000000002</v>
      </c>
      <c r="P41" s="3">
        <v>250</v>
      </c>
    </row>
    <row r="42" spans="1:16" x14ac:dyDescent="0.25">
      <c r="A42" t="s">
        <v>46</v>
      </c>
      <c r="C42" s="3">
        <v>50</v>
      </c>
      <c r="E42" s="3">
        <f t="shared" si="7"/>
        <v>41.666666666666664</v>
      </c>
      <c r="G42" s="3">
        <f t="shared" si="4"/>
        <v>8.3333333333333357</v>
      </c>
      <c r="J42" s="7">
        <f>'May 2014'!J42+C42</f>
        <v>200</v>
      </c>
      <c r="L42" s="7">
        <v>500</v>
      </c>
      <c r="N42" s="7">
        <f t="shared" si="5"/>
        <v>-300</v>
      </c>
      <c r="P42" s="3">
        <v>500</v>
      </c>
    </row>
    <row r="43" spans="1:16" x14ac:dyDescent="0.25">
      <c r="A43" t="s">
        <v>32</v>
      </c>
      <c r="C43" s="3">
        <f>31.79+20.18+39.98</f>
        <v>91.949999999999989</v>
      </c>
      <c r="E43" s="3">
        <f t="shared" si="7"/>
        <v>83.333333333333329</v>
      </c>
      <c r="G43" s="3">
        <f t="shared" si="4"/>
        <v>8.61666666666666</v>
      </c>
      <c r="J43" s="7">
        <f>'May 2014'!J43+C43</f>
        <v>695.9699999999998</v>
      </c>
      <c r="L43" s="7">
        <v>1000</v>
      </c>
      <c r="N43" s="7">
        <f t="shared" si="5"/>
        <v>-304.0300000000002</v>
      </c>
      <c r="P43" s="3">
        <v>1000</v>
      </c>
    </row>
    <row r="45" spans="1:16" x14ac:dyDescent="0.25">
      <c r="A45" s="1" t="s">
        <v>33</v>
      </c>
      <c r="C45" s="3">
        <f>SUM(C17:C43)</f>
        <v>6143.35</v>
      </c>
      <c r="E45" s="3">
        <f>SUM(E17:E43)</f>
        <v>6523.333333333333</v>
      </c>
      <c r="G45" s="4">
        <f>SUM(G17:G43)</f>
        <v>-379.98333333333335</v>
      </c>
      <c r="J45" s="3">
        <f>SUM(J17:J43)</f>
        <v>76735.170000000013</v>
      </c>
      <c r="L45" s="3">
        <f>SUM(L17:L43)</f>
        <v>91925</v>
      </c>
      <c r="N45" s="4">
        <f>SUM(N17:N43)</f>
        <v>-15189.83</v>
      </c>
      <c r="P45" s="3">
        <f>SUM(P17:P43)</f>
        <v>91925</v>
      </c>
    </row>
    <row r="48" spans="1:16" x14ac:dyDescent="0.25">
      <c r="A48" t="s">
        <v>39</v>
      </c>
    </row>
    <row r="49" spans="1:1" x14ac:dyDescent="0.25">
      <c r="A49" t="s">
        <v>39</v>
      </c>
    </row>
  </sheetData>
  <pageMargins left="0" right="0" top="0" bottom="0" header="0.3" footer="0.3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topLeftCell="A16" workbookViewId="0">
      <selection activeCell="P36" sqref="P36"/>
    </sheetView>
  </sheetViews>
  <sheetFormatPr defaultRowHeight="15" x14ac:dyDescent="0.25"/>
  <cols>
    <col min="2" max="2" width="16.85546875" customWidth="1"/>
    <col min="3" max="3" width="10" style="3" bestFit="1" customWidth="1"/>
    <col min="5" max="5" width="10.5703125" style="3" bestFit="1" customWidth="1"/>
    <col min="7" max="7" width="9.140625" style="3"/>
    <col min="16" max="16" width="11.5703125" style="3" bestFit="1" customWidth="1"/>
  </cols>
  <sheetData>
    <row r="2" spans="1:16" x14ac:dyDescent="0.25">
      <c r="D2" s="1" t="s">
        <v>43</v>
      </c>
      <c r="K2" s="1" t="s">
        <v>42</v>
      </c>
    </row>
    <row r="3" spans="1:16" x14ac:dyDescent="0.25">
      <c r="D3" s="1" t="s">
        <v>39</v>
      </c>
      <c r="J3" s="5" t="s">
        <v>40</v>
      </c>
      <c r="L3" s="5" t="s">
        <v>40</v>
      </c>
      <c r="N3" s="5" t="s">
        <v>40</v>
      </c>
      <c r="P3" s="6" t="s">
        <v>41</v>
      </c>
    </row>
    <row r="4" spans="1:16" x14ac:dyDescent="0.25">
      <c r="C4" s="4" t="s">
        <v>34</v>
      </c>
      <c r="E4" s="4" t="s">
        <v>35</v>
      </c>
      <c r="G4" s="4" t="s">
        <v>36</v>
      </c>
      <c r="J4" s="4" t="s">
        <v>34</v>
      </c>
      <c r="L4" s="4" t="s">
        <v>35</v>
      </c>
      <c r="N4" s="4" t="s">
        <v>36</v>
      </c>
    </row>
    <row r="5" spans="1:16" x14ac:dyDescent="0.25">
      <c r="A5" s="1" t="s">
        <v>44</v>
      </c>
    </row>
    <row r="6" spans="1:16" x14ac:dyDescent="0.25">
      <c r="A6" t="s">
        <v>1</v>
      </c>
      <c r="C6" s="3">
        <v>0</v>
      </c>
      <c r="E6" s="3">
        <v>0</v>
      </c>
      <c r="G6" s="3">
        <f>C6-E6</f>
        <v>0</v>
      </c>
      <c r="J6" s="7">
        <f>'July 2013'!C6+C6</f>
        <v>0</v>
      </c>
      <c r="L6">
        <v>0</v>
      </c>
      <c r="N6" s="7">
        <f>J6-L6</f>
        <v>0</v>
      </c>
      <c r="P6" s="3">
        <v>42000</v>
      </c>
    </row>
    <row r="7" spans="1:16" x14ac:dyDescent="0.25">
      <c r="A7" t="s">
        <v>2</v>
      </c>
      <c r="C7" s="3">
        <v>608.48</v>
      </c>
      <c r="E7" s="3">
        <f>P7/12</f>
        <v>650</v>
      </c>
      <c r="G7" s="3">
        <f t="shared" ref="G7:G10" si="0">C7-E7</f>
        <v>-41.519999999999982</v>
      </c>
      <c r="J7" s="7">
        <f>'July 2013'!C7+C7</f>
        <v>1292.79</v>
      </c>
      <c r="L7" s="7">
        <f>'July 2013'!E7+E7</f>
        <v>1300</v>
      </c>
      <c r="N7" s="7">
        <f t="shared" ref="N7:N10" si="1">J7-L7</f>
        <v>-7.2100000000000364</v>
      </c>
      <c r="P7" s="3">
        <v>7800</v>
      </c>
    </row>
    <row r="8" spans="1:16" x14ac:dyDescent="0.25">
      <c r="A8" t="s">
        <v>3</v>
      </c>
      <c r="C8" s="3">
        <f>14.66+6.49</f>
        <v>21.15</v>
      </c>
      <c r="E8" s="3">
        <f t="shared" ref="E8:E10" si="2">P8/12</f>
        <v>20</v>
      </c>
      <c r="G8" s="3">
        <f t="shared" si="0"/>
        <v>1.1499999999999986</v>
      </c>
      <c r="J8" s="7">
        <f>'July 2013'!C8+C8</f>
        <v>42.15</v>
      </c>
      <c r="L8" s="7">
        <f>'July 2013'!E8+E8</f>
        <v>40</v>
      </c>
      <c r="N8" s="7">
        <f t="shared" si="1"/>
        <v>2.1499999999999986</v>
      </c>
      <c r="P8" s="3">
        <v>240</v>
      </c>
    </row>
    <row r="9" spans="1:16" x14ac:dyDescent="0.25">
      <c r="A9" t="s">
        <v>4</v>
      </c>
      <c r="C9" s="3">
        <v>3335.53</v>
      </c>
      <c r="E9" s="3">
        <v>0</v>
      </c>
      <c r="G9" s="3">
        <f t="shared" si="0"/>
        <v>3335.53</v>
      </c>
      <c r="J9" s="7">
        <f>'July 2013'!C9+C9</f>
        <v>6805.9</v>
      </c>
      <c r="L9" s="7">
        <f>'July 2013'!E9+E9</f>
        <v>6375</v>
      </c>
      <c r="N9" s="7">
        <f t="shared" si="1"/>
        <v>430.89999999999964</v>
      </c>
      <c r="P9" s="3">
        <v>25500</v>
      </c>
    </row>
    <row r="10" spans="1:16" x14ac:dyDescent="0.25">
      <c r="A10" t="s">
        <v>5</v>
      </c>
      <c r="C10" s="3">
        <v>271.52999999999997</v>
      </c>
      <c r="E10" s="3">
        <f t="shared" si="2"/>
        <v>272</v>
      </c>
      <c r="G10" s="3">
        <f t="shared" si="0"/>
        <v>-0.47000000000002728</v>
      </c>
      <c r="J10" s="7">
        <f>'July 2013'!C10+C10</f>
        <v>543.05999999999995</v>
      </c>
      <c r="L10" s="7">
        <f>'July 2013'!E10+E10</f>
        <v>544</v>
      </c>
      <c r="N10" s="7">
        <f t="shared" si="1"/>
        <v>-0.94000000000005457</v>
      </c>
      <c r="P10" s="3">
        <v>3264</v>
      </c>
    </row>
    <row r="12" spans="1:16" x14ac:dyDescent="0.25">
      <c r="A12" s="1" t="s">
        <v>6</v>
      </c>
      <c r="C12" s="3">
        <f>SUM(C6:C10)</f>
        <v>4236.6900000000005</v>
      </c>
      <c r="E12" s="3">
        <f>SUM(E6:E10)</f>
        <v>942</v>
      </c>
      <c r="G12" s="3">
        <f>SUM(G6:G10)</f>
        <v>3294.6900000000005</v>
      </c>
      <c r="J12" s="3">
        <f>SUM(J6:J10)</f>
        <v>8683.9</v>
      </c>
      <c r="L12" s="3">
        <f>SUM(L6:L10)</f>
        <v>8259</v>
      </c>
      <c r="N12" s="3">
        <f>SUM(N6:N10)</f>
        <v>424.89999999999952</v>
      </c>
      <c r="P12" s="3">
        <f>SUM(P6:P10)</f>
        <v>78804</v>
      </c>
    </row>
    <row r="15" spans="1:16" x14ac:dyDescent="0.25">
      <c r="A15" s="1" t="s">
        <v>47</v>
      </c>
    </row>
    <row r="16" spans="1:16" x14ac:dyDescent="0.25">
      <c r="A16" t="s">
        <v>8</v>
      </c>
    </row>
    <row r="17" spans="1:16" x14ac:dyDescent="0.25">
      <c r="A17" t="s">
        <v>9</v>
      </c>
      <c r="C17" s="3">
        <v>300</v>
      </c>
      <c r="E17" s="3">
        <f t="shared" ref="E17" si="3">P17/12</f>
        <v>300</v>
      </c>
      <c r="G17" s="3">
        <f t="shared" ref="G17:G43" si="4">C17-E17</f>
        <v>0</v>
      </c>
      <c r="J17" s="7">
        <f>'July 2013'!C17+C17</f>
        <v>600</v>
      </c>
      <c r="L17" s="7">
        <f>'July 2013'!E17+E17</f>
        <v>600</v>
      </c>
      <c r="N17" s="7">
        <f t="shared" ref="N17:N43" si="5">J17-L17</f>
        <v>0</v>
      </c>
      <c r="P17" s="3">
        <v>3600</v>
      </c>
    </row>
    <row r="18" spans="1:16" x14ac:dyDescent="0.25">
      <c r="A18" t="s">
        <v>10</v>
      </c>
      <c r="C18" s="3">
        <v>0</v>
      </c>
      <c r="E18" s="3">
        <v>0</v>
      </c>
      <c r="G18" s="3">
        <f t="shared" si="4"/>
        <v>0</v>
      </c>
      <c r="J18" s="7">
        <f>'July 2013'!C18+C18</f>
        <v>0</v>
      </c>
      <c r="L18" s="7">
        <f>'July 2013'!E18+E18</f>
        <v>0</v>
      </c>
      <c r="N18" s="7">
        <f t="shared" si="5"/>
        <v>0</v>
      </c>
      <c r="P18" s="3">
        <v>6000</v>
      </c>
    </row>
    <row r="19" spans="1:16" x14ac:dyDescent="0.25">
      <c r="A19" t="s">
        <v>11</v>
      </c>
      <c r="C19" s="3">
        <v>0</v>
      </c>
      <c r="E19" s="3">
        <v>0</v>
      </c>
      <c r="G19" s="3">
        <f t="shared" si="4"/>
        <v>0</v>
      </c>
      <c r="J19" s="7">
        <f>'July 2013'!C19+C19</f>
        <v>0</v>
      </c>
      <c r="L19" s="7">
        <f>'July 2013'!E19+E19</f>
        <v>0</v>
      </c>
      <c r="N19" s="7">
        <f t="shared" si="5"/>
        <v>0</v>
      </c>
      <c r="P19" s="3">
        <v>3000</v>
      </c>
    </row>
    <row r="20" spans="1:16" x14ac:dyDescent="0.25">
      <c r="A20" t="s">
        <v>12</v>
      </c>
      <c r="C20" s="3">
        <v>0</v>
      </c>
      <c r="E20" s="3">
        <f>P20/12</f>
        <v>166.66666666666666</v>
      </c>
      <c r="G20" s="3">
        <f t="shared" si="4"/>
        <v>-166.66666666666666</v>
      </c>
      <c r="J20" s="7">
        <f>'July 2013'!C20+C20</f>
        <v>0</v>
      </c>
      <c r="L20" s="7">
        <f>'July 2013'!E20+E20</f>
        <v>333.33333333333331</v>
      </c>
      <c r="N20" s="7">
        <f t="shared" si="5"/>
        <v>-333.33333333333331</v>
      </c>
      <c r="P20" s="3">
        <v>2000</v>
      </c>
    </row>
    <row r="21" spans="1:16" x14ac:dyDescent="0.25">
      <c r="A21" t="s">
        <v>13</v>
      </c>
      <c r="C21" s="3">
        <v>442.74</v>
      </c>
      <c r="E21" s="3">
        <f t="shared" ref="E21:E22" si="6">P21/12</f>
        <v>435</v>
      </c>
      <c r="G21" s="3">
        <f t="shared" si="4"/>
        <v>7.7400000000000091</v>
      </c>
      <c r="J21" s="7">
        <f>'July 2013'!C21+C21</f>
        <v>877.63</v>
      </c>
      <c r="L21" s="7">
        <f>'July 2013'!E21+E21</f>
        <v>870</v>
      </c>
      <c r="N21" s="7">
        <f t="shared" si="5"/>
        <v>7.6299999999999955</v>
      </c>
      <c r="P21" s="3">
        <v>5220</v>
      </c>
    </row>
    <row r="22" spans="1:16" x14ac:dyDescent="0.25">
      <c r="A22" t="s">
        <v>14</v>
      </c>
      <c r="C22" s="3">
        <v>2767.5</v>
      </c>
      <c r="E22" s="3">
        <f t="shared" si="6"/>
        <v>2767.5</v>
      </c>
      <c r="G22" s="3">
        <f t="shared" si="4"/>
        <v>0</v>
      </c>
      <c r="J22" s="7">
        <f>'July 2013'!C22+C22</f>
        <v>5535</v>
      </c>
      <c r="L22" s="7">
        <f>'July 2013'!E22+E22</f>
        <v>5535</v>
      </c>
      <c r="N22" s="7">
        <f t="shared" si="5"/>
        <v>0</v>
      </c>
      <c r="P22" s="3">
        <v>33210</v>
      </c>
    </row>
    <row r="23" spans="1:16" x14ac:dyDescent="0.25">
      <c r="A23" t="s">
        <v>15</v>
      </c>
      <c r="C23" s="3">
        <v>0</v>
      </c>
      <c r="E23" s="3">
        <v>0</v>
      </c>
      <c r="G23" s="3">
        <f t="shared" si="4"/>
        <v>0</v>
      </c>
      <c r="J23" s="7">
        <f>'July 2013'!C23+C23</f>
        <v>3652</v>
      </c>
      <c r="L23" s="7">
        <f>'July 2013'!E23+E23</f>
        <v>3652</v>
      </c>
      <c r="N23" s="7">
        <f t="shared" si="5"/>
        <v>0</v>
      </c>
      <c r="P23" s="3">
        <v>3652</v>
      </c>
    </row>
    <row r="24" spans="1:16" x14ac:dyDescent="0.25">
      <c r="A24" t="s">
        <v>16</v>
      </c>
      <c r="C24" s="3">
        <v>0</v>
      </c>
      <c r="E24" s="3">
        <v>0</v>
      </c>
      <c r="G24" s="3">
        <f t="shared" si="4"/>
        <v>0</v>
      </c>
      <c r="J24" s="7">
        <f>'July 2013'!C24+C24</f>
        <v>531</v>
      </c>
      <c r="L24" s="7">
        <f>'July 2013'!E24+E24</f>
        <v>531</v>
      </c>
      <c r="N24" s="7">
        <f t="shared" si="5"/>
        <v>0</v>
      </c>
      <c r="P24" s="3">
        <v>531</v>
      </c>
    </row>
    <row r="25" spans="1:16" x14ac:dyDescent="0.25">
      <c r="A25" t="s">
        <v>17</v>
      </c>
      <c r="C25" s="3">
        <v>0</v>
      </c>
      <c r="E25" s="3">
        <v>0</v>
      </c>
      <c r="G25" s="3">
        <f t="shared" si="4"/>
        <v>0</v>
      </c>
      <c r="J25" s="7">
        <f>'July 2013'!C25+C25</f>
        <v>0</v>
      </c>
      <c r="L25" s="7">
        <f>'July 2013'!E25+E25</f>
        <v>0</v>
      </c>
      <c r="N25" s="7">
        <f t="shared" si="5"/>
        <v>0</v>
      </c>
      <c r="P25" s="3">
        <v>435</v>
      </c>
    </row>
    <row r="26" spans="1:16" x14ac:dyDescent="0.25">
      <c r="A26" t="s">
        <v>18</v>
      </c>
      <c r="C26" s="3">
        <v>700</v>
      </c>
      <c r="E26" s="3">
        <f t="shared" ref="E26:E43" si="7">P26/12</f>
        <v>583.33333333333337</v>
      </c>
      <c r="G26" s="3">
        <f t="shared" si="4"/>
        <v>116.66666666666663</v>
      </c>
      <c r="J26" s="7">
        <f>'July 2013'!C26+C26</f>
        <v>808.06</v>
      </c>
      <c r="L26" s="7">
        <f>'July 2013'!E26+E26</f>
        <v>1166.6666666666667</v>
      </c>
      <c r="N26" s="7">
        <f t="shared" si="5"/>
        <v>-358.6066666666668</v>
      </c>
      <c r="P26" s="3">
        <v>7000</v>
      </c>
    </row>
    <row r="27" spans="1:16" x14ac:dyDescent="0.25">
      <c r="A27" t="s">
        <v>19</v>
      </c>
      <c r="C27" s="3">
        <v>0</v>
      </c>
      <c r="E27" s="3">
        <f t="shared" si="7"/>
        <v>125</v>
      </c>
      <c r="G27" s="3">
        <f t="shared" si="4"/>
        <v>-125</v>
      </c>
      <c r="J27" s="7">
        <f>'July 2013'!C27+C27</f>
        <v>0</v>
      </c>
      <c r="L27" s="7">
        <f>'July 2013'!E27+E27</f>
        <v>250</v>
      </c>
      <c r="N27" s="7">
        <f t="shared" si="5"/>
        <v>-250</v>
      </c>
      <c r="P27" s="3">
        <v>1500</v>
      </c>
    </row>
    <row r="28" spans="1:16" x14ac:dyDescent="0.25">
      <c r="A28" t="s">
        <v>20</v>
      </c>
      <c r="C28" s="3">
        <v>0</v>
      </c>
      <c r="E28" s="3">
        <v>0</v>
      </c>
      <c r="G28" s="3">
        <f t="shared" si="4"/>
        <v>0</v>
      </c>
      <c r="J28" s="7">
        <f>'July 2013'!C28+C28</f>
        <v>0</v>
      </c>
      <c r="L28" s="7">
        <f>'July 2013'!E28+E28</f>
        <v>0</v>
      </c>
      <c r="N28" s="7">
        <f t="shared" si="5"/>
        <v>0</v>
      </c>
      <c r="P28" s="3">
        <v>5000</v>
      </c>
    </row>
    <row r="29" spans="1:16" x14ac:dyDescent="0.25">
      <c r="A29" t="s">
        <v>21</v>
      </c>
      <c r="C29" s="3">
        <v>0</v>
      </c>
      <c r="E29" s="3">
        <v>0</v>
      </c>
      <c r="G29" s="3">
        <f t="shared" si="4"/>
        <v>0</v>
      </c>
      <c r="J29" s="7">
        <f>'July 2013'!C29+C29</f>
        <v>0</v>
      </c>
      <c r="L29" s="7">
        <f>'July 2013'!E29+E29</f>
        <v>0</v>
      </c>
      <c r="N29" s="7">
        <f t="shared" si="5"/>
        <v>0</v>
      </c>
      <c r="P29" s="3">
        <v>2000</v>
      </c>
    </row>
    <row r="30" spans="1:16" x14ac:dyDescent="0.25">
      <c r="A30" t="s">
        <v>22</v>
      </c>
      <c r="C30" s="3">
        <v>0</v>
      </c>
      <c r="E30" s="3">
        <f t="shared" si="7"/>
        <v>12.5</v>
      </c>
      <c r="G30" s="3">
        <f t="shared" si="4"/>
        <v>-12.5</v>
      </c>
      <c r="J30" s="7">
        <f>'July 2013'!C30+C30</f>
        <v>0</v>
      </c>
      <c r="L30" s="7">
        <f>'July 2013'!E30+E30</f>
        <v>25</v>
      </c>
      <c r="N30" s="7">
        <f t="shared" si="5"/>
        <v>-25</v>
      </c>
      <c r="P30" s="3">
        <v>150</v>
      </c>
    </row>
    <row r="31" spans="1:16" x14ac:dyDescent="0.25">
      <c r="A31" t="s">
        <v>23</v>
      </c>
      <c r="C31" s="3">
        <v>0</v>
      </c>
      <c r="E31" s="3">
        <v>0</v>
      </c>
      <c r="G31" s="3">
        <f t="shared" si="4"/>
        <v>0</v>
      </c>
      <c r="J31" s="7">
        <f>'July 2013'!C31+C31</f>
        <v>0</v>
      </c>
      <c r="L31" s="7">
        <f>'July 2013'!E31+E31</f>
        <v>0</v>
      </c>
      <c r="N31" s="7">
        <f t="shared" si="5"/>
        <v>0</v>
      </c>
      <c r="P31" s="3">
        <v>1200</v>
      </c>
    </row>
    <row r="32" spans="1:16" x14ac:dyDescent="0.25">
      <c r="A32" t="s">
        <v>24</v>
      </c>
      <c r="C32" s="3">
        <v>0</v>
      </c>
      <c r="E32" s="3">
        <f t="shared" si="7"/>
        <v>125</v>
      </c>
      <c r="G32" s="3">
        <f t="shared" si="4"/>
        <v>-125</v>
      </c>
      <c r="J32" s="7">
        <f>'July 2013'!C32+C32</f>
        <v>150</v>
      </c>
      <c r="L32" s="7">
        <f>'July 2013'!E32+E32</f>
        <v>250</v>
      </c>
      <c r="N32" s="7">
        <f t="shared" si="5"/>
        <v>-100</v>
      </c>
      <c r="P32" s="3">
        <v>1500</v>
      </c>
    </row>
    <row r="33" spans="1:16" x14ac:dyDescent="0.25">
      <c r="A33" t="s">
        <v>25</v>
      </c>
      <c r="C33" s="3">
        <v>0</v>
      </c>
      <c r="E33" s="3">
        <v>0</v>
      </c>
      <c r="G33" s="3">
        <f t="shared" si="4"/>
        <v>0</v>
      </c>
      <c r="J33" s="7">
        <f>'July 2013'!C33+C33</f>
        <v>0</v>
      </c>
      <c r="L33" s="7">
        <f>'July 2013'!E33+E33</f>
        <v>0</v>
      </c>
      <c r="N33" s="7">
        <f t="shared" si="5"/>
        <v>0</v>
      </c>
      <c r="P33" s="3">
        <v>1900</v>
      </c>
    </row>
    <row r="34" spans="1:16" x14ac:dyDescent="0.25">
      <c r="A34" t="s">
        <v>26</v>
      </c>
      <c r="C34" s="3">
        <v>500</v>
      </c>
      <c r="E34" s="3">
        <f t="shared" si="7"/>
        <v>833.33333333333337</v>
      </c>
      <c r="G34" s="3">
        <f t="shared" si="4"/>
        <v>-333.33333333333337</v>
      </c>
      <c r="J34" s="7">
        <f>'July 2013'!C34+C34</f>
        <v>1175</v>
      </c>
      <c r="L34" s="7">
        <f>'July 2013'!E34+E34</f>
        <v>1666.6666666666667</v>
      </c>
      <c r="N34" s="7">
        <f t="shared" si="5"/>
        <v>-491.66666666666674</v>
      </c>
      <c r="P34" s="3">
        <v>10000</v>
      </c>
    </row>
    <row r="35" spans="1:16" x14ac:dyDescent="0.25">
      <c r="A35" t="s">
        <v>63</v>
      </c>
      <c r="C35" s="3">
        <v>0</v>
      </c>
      <c r="E35" s="3">
        <v>0</v>
      </c>
      <c r="G35" s="3">
        <v>0</v>
      </c>
      <c r="J35" s="7">
        <v>0</v>
      </c>
      <c r="L35" s="7">
        <v>0</v>
      </c>
      <c r="N35" s="7">
        <v>0</v>
      </c>
      <c r="P35" s="3">
        <v>2850</v>
      </c>
    </row>
    <row r="36" spans="1:16" x14ac:dyDescent="0.25">
      <c r="A36" t="s">
        <v>27</v>
      </c>
      <c r="G36" s="3" t="s">
        <v>39</v>
      </c>
      <c r="J36" s="7" t="s">
        <v>39</v>
      </c>
      <c r="L36" s="7" t="s">
        <v>39</v>
      </c>
      <c r="N36" s="7" t="s">
        <v>39</v>
      </c>
    </row>
    <row r="37" spans="1:16" x14ac:dyDescent="0.25">
      <c r="A37" t="s">
        <v>28</v>
      </c>
      <c r="C37" s="3">
        <v>50</v>
      </c>
      <c r="E37" s="3">
        <f t="shared" si="7"/>
        <v>50</v>
      </c>
      <c r="G37" s="3">
        <f t="shared" si="4"/>
        <v>0</v>
      </c>
      <c r="J37" s="7">
        <f>'July 2013'!C37+C37</f>
        <v>100</v>
      </c>
      <c r="L37" s="7">
        <f>'July 2013'!E37+E37</f>
        <v>100</v>
      </c>
      <c r="N37" s="7">
        <f t="shared" si="5"/>
        <v>0</v>
      </c>
      <c r="P37" s="3">
        <v>600</v>
      </c>
    </row>
    <row r="38" spans="1:16" x14ac:dyDescent="0.25">
      <c r="A38" t="s">
        <v>37</v>
      </c>
      <c r="C38" s="3">
        <v>119</v>
      </c>
      <c r="E38" s="3">
        <v>0</v>
      </c>
      <c r="G38" s="3">
        <f t="shared" si="4"/>
        <v>119</v>
      </c>
      <c r="J38" s="7">
        <f>'July 2013'!C38+C38</f>
        <v>119</v>
      </c>
      <c r="L38" s="7">
        <f>'July 2013'!E38+E38</f>
        <v>106.25</v>
      </c>
      <c r="N38" s="7">
        <f t="shared" si="5"/>
        <v>12.75</v>
      </c>
      <c r="P38" s="3">
        <v>425</v>
      </c>
    </row>
    <row r="39" spans="1:16" x14ac:dyDescent="0.25">
      <c r="A39" t="s">
        <v>29</v>
      </c>
      <c r="C39" s="3">
        <v>0</v>
      </c>
      <c r="E39" s="3">
        <v>0</v>
      </c>
      <c r="G39" s="3">
        <f t="shared" si="4"/>
        <v>0</v>
      </c>
      <c r="J39" s="7">
        <f>'July 2013'!C39+C39</f>
        <v>0</v>
      </c>
      <c r="L39" s="7">
        <f>'July 2013'!E39+E39</f>
        <v>0</v>
      </c>
      <c r="N39" s="7">
        <f t="shared" si="5"/>
        <v>0</v>
      </c>
      <c r="P39" s="3">
        <v>102</v>
      </c>
    </row>
    <row r="40" spans="1:16" x14ac:dyDescent="0.25">
      <c r="A40" t="s">
        <v>30</v>
      </c>
      <c r="C40" s="3">
        <v>0</v>
      </c>
      <c r="E40" s="3">
        <v>0</v>
      </c>
      <c r="G40" s="3">
        <f t="shared" si="4"/>
        <v>0</v>
      </c>
      <c r="J40" s="7">
        <f>'July 2013'!C40+C40</f>
        <v>0</v>
      </c>
      <c r="L40" s="7">
        <f>'July 2013'!E40+E40</f>
        <v>0</v>
      </c>
      <c r="N40" s="7">
        <f t="shared" si="5"/>
        <v>0</v>
      </c>
      <c r="P40" s="3">
        <v>200</v>
      </c>
    </row>
    <row r="41" spans="1:16" x14ac:dyDescent="0.25">
      <c r="A41" t="s">
        <v>31</v>
      </c>
      <c r="C41" s="3">
        <v>0</v>
      </c>
      <c r="E41" s="3">
        <v>0</v>
      </c>
      <c r="G41" s="3">
        <f t="shared" si="4"/>
        <v>0</v>
      </c>
      <c r="J41" s="7">
        <f>'July 2013'!C41+C41</f>
        <v>0</v>
      </c>
      <c r="L41" s="7">
        <f>'July 2013'!E41+E41</f>
        <v>0</v>
      </c>
      <c r="N41" s="7">
        <f t="shared" si="5"/>
        <v>0</v>
      </c>
      <c r="P41" s="3">
        <v>250</v>
      </c>
    </row>
    <row r="42" spans="1:16" x14ac:dyDescent="0.25">
      <c r="A42" t="s">
        <v>46</v>
      </c>
      <c r="C42" s="3">
        <v>25</v>
      </c>
      <c r="E42" s="3">
        <f t="shared" si="7"/>
        <v>41.666666666666664</v>
      </c>
      <c r="G42" s="3">
        <f t="shared" ref="G42" si="8">C42-E42</f>
        <v>-16.666666666666664</v>
      </c>
      <c r="J42" s="7">
        <f>'July 2013'!C42+C42</f>
        <v>25</v>
      </c>
      <c r="L42" s="7">
        <f>'July 2013'!E42+E42</f>
        <v>41.666666666666664</v>
      </c>
      <c r="N42" s="7">
        <f t="shared" ref="N42" si="9">J42-L42</f>
        <v>-16.666666666666664</v>
      </c>
      <c r="P42" s="3">
        <v>500</v>
      </c>
    </row>
    <row r="43" spans="1:16" x14ac:dyDescent="0.25">
      <c r="A43" t="s">
        <v>32</v>
      </c>
      <c r="C43" s="3">
        <f>20.12</f>
        <v>20.12</v>
      </c>
      <c r="E43" s="3">
        <f t="shared" si="7"/>
        <v>83.333333333333329</v>
      </c>
      <c r="G43" s="3">
        <f t="shared" si="4"/>
        <v>-63.213333333333324</v>
      </c>
      <c r="J43" s="7">
        <f>'July 2013'!C43+C43</f>
        <v>20.12</v>
      </c>
      <c r="L43" s="7">
        <f>'July 2013'!E43+E43</f>
        <v>166.66666666666666</v>
      </c>
      <c r="N43" s="7">
        <f t="shared" si="5"/>
        <v>-146.54666666666665</v>
      </c>
      <c r="P43" s="3">
        <v>1000</v>
      </c>
    </row>
    <row r="45" spans="1:16" x14ac:dyDescent="0.25">
      <c r="A45" s="1" t="s">
        <v>33</v>
      </c>
      <c r="C45" s="3">
        <f>SUM(C17:C43)</f>
        <v>4924.3599999999997</v>
      </c>
      <c r="E45" s="3">
        <f>SUM(E17:E43)</f>
        <v>5523.333333333333</v>
      </c>
      <c r="G45" s="4">
        <f>SUM(G17:G43)</f>
        <v>-598.97333333333336</v>
      </c>
      <c r="J45" s="3">
        <f>SUM(J17:J43)</f>
        <v>13592.810000000001</v>
      </c>
      <c r="L45" s="3">
        <f>SUM(L17:L43)</f>
        <v>15294.249999999996</v>
      </c>
      <c r="N45" s="4">
        <f>SUM(N17:N43)</f>
        <v>-1701.4400000000003</v>
      </c>
      <c r="P45" s="3">
        <f>SUM(P17:P43)</f>
        <v>93825</v>
      </c>
    </row>
  </sheetData>
  <pageMargins left="0" right="0" top="0" bottom="0" header="0.3" footer="0.3"/>
  <pageSetup scale="7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workbookViewId="0">
      <selection activeCell="P36" sqref="P36"/>
    </sheetView>
  </sheetViews>
  <sheetFormatPr defaultRowHeight="15" x14ac:dyDescent="0.25"/>
  <cols>
    <col min="2" max="2" width="16.85546875" customWidth="1"/>
    <col min="3" max="3" width="10" style="3" bestFit="1" customWidth="1"/>
    <col min="5" max="5" width="10.5703125" style="3" bestFit="1" customWidth="1"/>
    <col min="7" max="7" width="9.140625" style="3"/>
    <col min="16" max="16" width="11.5703125" style="3" bestFit="1" customWidth="1"/>
  </cols>
  <sheetData>
    <row r="2" spans="1:16" x14ac:dyDescent="0.25">
      <c r="D2" s="1" t="s">
        <v>48</v>
      </c>
      <c r="K2" s="1" t="s">
        <v>42</v>
      </c>
    </row>
    <row r="3" spans="1:16" x14ac:dyDescent="0.25">
      <c r="D3" s="1" t="s">
        <v>39</v>
      </c>
      <c r="J3" s="5" t="s">
        <v>40</v>
      </c>
      <c r="L3" s="5" t="s">
        <v>40</v>
      </c>
      <c r="N3" s="5" t="s">
        <v>40</v>
      </c>
      <c r="P3" s="6" t="s">
        <v>41</v>
      </c>
    </row>
    <row r="4" spans="1:16" x14ac:dyDescent="0.25">
      <c r="C4" s="4" t="s">
        <v>34</v>
      </c>
      <c r="E4" s="4" t="s">
        <v>35</v>
      </c>
      <c r="G4" s="4" t="s">
        <v>36</v>
      </c>
      <c r="J4" s="4" t="s">
        <v>34</v>
      </c>
      <c r="L4" s="4" t="s">
        <v>35</v>
      </c>
      <c r="N4" s="4" t="s">
        <v>36</v>
      </c>
    </row>
    <row r="5" spans="1:16" x14ac:dyDescent="0.25">
      <c r="A5" s="1" t="s">
        <v>49</v>
      </c>
    </row>
    <row r="6" spans="1:16" x14ac:dyDescent="0.25">
      <c r="A6" t="s">
        <v>1</v>
      </c>
      <c r="C6" s="3">
        <v>0</v>
      </c>
      <c r="E6" s="3">
        <v>0</v>
      </c>
      <c r="G6" s="3">
        <f>C6-E6</f>
        <v>0</v>
      </c>
      <c r="J6" s="7">
        <f>'August 2013'!C6+C6</f>
        <v>0</v>
      </c>
      <c r="L6">
        <v>0</v>
      </c>
      <c r="N6" s="7">
        <f>J6-L6</f>
        <v>0</v>
      </c>
      <c r="P6" s="3">
        <v>42000</v>
      </c>
    </row>
    <row r="7" spans="1:16" x14ac:dyDescent="0.25">
      <c r="A7" t="s">
        <v>2</v>
      </c>
      <c r="C7" s="3">
        <v>675.78</v>
      </c>
      <c r="E7" s="3">
        <f>P7/12</f>
        <v>650</v>
      </c>
      <c r="G7" s="3">
        <f t="shared" ref="G7:G10" si="0">C7-E7</f>
        <v>25.779999999999973</v>
      </c>
      <c r="J7" s="7">
        <f>'August 2013'!J7+C7</f>
        <v>1968.57</v>
      </c>
      <c r="L7" s="7">
        <f>'August 2013'!L7+E7</f>
        <v>1950</v>
      </c>
      <c r="N7" s="7">
        <f t="shared" ref="N7:N10" si="1">J7-L7</f>
        <v>18.569999999999936</v>
      </c>
      <c r="P7" s="3">
        <v>7800</v>
      </c>
    </row>
    <row r="8" spans="1:16" x14ac:dyDescent="0.25">
      <c r="A8" t="s">
        <v>3</v>
      </c>
      <c r="C8" s="3">
        <f>13.44+6.37</f>
        <v>19.809999999999999</v>
      </c>
      <c r="E8" s="3">
        <f t="shared" ref="E8:E10" si="2">P8/12</f>
        <v>20</v>
      </c>
      <c r="G8" s="3">
        <f t="shared" si="0"/>
        <v>-0.19000000000000128</v>
      </c>
      <c r="J8" s="7">
        <f>'August 2013'!J8+C8</f>
        <v>61.959999999999994</v>
      </c>
      <c r="L8" s="7">
        <f>'August 2013'!L8+E8</f>
        <v>60</v>
      </c>
      <c r="N8" s="7">
        <f t="shared" si="1"/>
        <v>1.9599999999999937</v>
      </c>
      <c r="P8" s="3">
        <v>240</v>
      </c>
    </row>
    <row r="9" spans="1:16" x14ac:dyDescent="0.25">
      <c r="A9" t="s">
        <v>4</v>
      </c>
      <c r="C9" s="3">
        <v>0</v>
      </c>
      <c r="E9" s="3">
        <v>0</v>
      </c>
      <c r="G9" s="3">
        <f t="shared" si="0"/>
        <v>0</v>
      </c>
      <c r="J9" s="7">
        <f>'August 2013'!J9+C9</f>
        <v>6805.9</v>
      </c>
      <c r="L9" s="7">
        <f>'August 2013'!L9+E9</f>
        <v>6375</v>
      </c>
      <c r="N9" s="7">
        <f t="shared" si="1"/>
        <v>430.89999999999964</v>
      </c>
      <c r="P9" s="3">
        <v>25500</v>
      </c>
    </row>
    <row r="10" spans="1:16" x14ac:dyDescent="0.25">
      <c r="A10" t="s">
        <v>5</v>
      </c>
      <c r="C10" s="3">
        <v>271.87</v>
      </c>
      <c r="E10" s="3">
        <f t="shared" si="2"/>
        <v>272</v>
      </c>
      <c r="G10" s="3">
        <f t="shared" si="0"/>
        <v>-0.12999999999999545</v>
      </c>
      <c r="J10" s="7">
        <f>'August 2013'!J10+C10</f>
        <v>814.93</v>
      </c>
      <c r="L10" s="7">
        <f>'August 2013'!L10+E10</f>
        <v>816</v>
      </c>
      <c r="N10" s="7">
        <f t="shared" si="1"/>
        <v>-1.07000000000005</v>
      </c>
      <c r="P10" s="3">
        <v>3264</v>
      </c>
    </row>
    <row r="12" spans="1:16" x14ac:dyDescent="0.25">
      <c r="A12" s="1" t="s">
        <v>6</v>
      </c>
      <c r="C12" s="3">
        <f>SUM(C6:C10)</f>
        <v>967.45999999999992</v>
      </c>
      <c r="E12" s="3">
        <f>SUM(E6:E10)</f>
        <v>942</v>
      </c>
      <c r="G12" s="3">
        <f>SUM(G6:G10)</f>
        <v>25.459999999999976</v>
      </c>
      <c r="J12" s="3">
        <f>SUM(J6:J10)</f>
        <v>9651.36</v>
      </c>
      <c r="L12" s="3">
        <f>SUM(L6:L10)</f>
        <v>9201</v>
      </c>
      <c r="N12" s="3">
        <f>SUM(N6:N10)</f>
        <v>450.3599999999995</v>
      </c>
      <c r="P12" s="3">
        <f>SUM(P6:P10)</f>
        <v>78804</v>
      </c>
    </row>
    <row r="15" spans="1:16" x14ac:dyDescent="0.25">
      <c r="A15" s="1" t="s">
        <v>50</v>
      </c>
    </row>
    <row r="16" spans="1:16" x14ac:dyDescent="0.25">
      <c r="A16" t="s">
        <v>8</v>
      </c>
    </row>
    <row r="17" spans="1:16" x14ac:dyDescent="0.25">
      <c r="A17" t="s">
        <v>9</v>
      </c>
      <c r="C17" s="3">
        <v>300</v>
      </c>
      <c r="E17" s="3">
        <f t="shared" ref="E17" si="3">P17/12</f>
        <v>300</v>
      </c>
      <c r="G17" s="3">
        <f t="shared" ref="G17:G43" si="4">C17-E17</f>
        <v>0</v>
      </c>
      <c r="J17" s="7">
        <f>'August 2013'!J17+C17</f>
        <v>900</v>
      </c>
      <c r="L17" s="7">
        <f>'August 2013'!L17+E17</f>
        <v>900</v>
      </c>
      <c r="N17" s="7">
        <f t="shared" ref="N17:N43" si="5">J17-L17</f>
        <v>0</v>
      </c>
      <c r="P17" s="3">
        <v>3600</v>
      </c>
    </row>
    <row r="18" spans="1:16" x14ac:dyDescent="0.25">
      <c r="A18" t="s">
        <v>10</v>
      </c>
      <c r="C18" s="3">
        <v>1500</v>
      </c>
      <c r="E18" s="3">
        <v>1500</v>
      </c>
      <c r="G18" s="3">
        <f t="shared" si="4"/>
        <v>0</v>
      </c>
      <c r="J18" s="7">
        <f>'August 2013'!J18+C18</f>
        <v>1500</v>
      </c>
      <c r="L18" s="7">
        <f>'August 2013'!L18+E18</f>
        <v>1500</v>
      </c>
      <c r="N18" s="7">
        <f t="shared" si="5"/>
        <v>0</v>
      </c>
      <c r="P18" s="3">
        <v>6000</v>
      </c>
    </row>
    <row r="19" spans="1:16" x14ac:dyDescent="0.25">
      <c r="A19" t="s">
        <v>11</v>
      </c>
      <c r="C19" s="3">
        <f>75*4</f>
        <v>300</v>
      </c>
      <c r="E19" s="3">
        <v>300</v>
      </c>
      <c r="G19" s="3">
        <f t="shared" si="4"/>
        <v>0</v>
      </c>
      <c r="J19" s="7">
        <f>'August 2013'!J19+C19</f>
        <v>300</v>
      </c>
      <c r="L19" s="7">
        <f>'August 2013'!L19+E19</f>
        <v>300</v>
      </c>
      <c r="N19" s="7">
        <f t="shared" si="5"/>
        <v>0</v>
      </c>
      <c r="P19" s="3">
        <v>3000</v>
      </c>
    </row>
    <row r="20" spans="1:16" x14ac:dyDescent="0.25">
      <c r="A20" t="s">
        <v>12</v>
      </c>
      <c r="C20" s="3">
        <v>0</v>
      </c>
      <c r="E20" s="3">
        <f>P20/12</f>
        <v>166.66666666666666</v>
      </c>
      <c r="G20" s="3">
        <f t="shared" si="4"/>
        <v>-166.66666666666666</v>
      </c>
      <c r="J20" s="7">
        <f>'August 2013'!J20+C20</f>
        <v>0</v>
      </c>
      <c r="L20" s="7">
        <f>'August 2013'!L20+E20</f>
        <v>500</v>
      </c>
      <c r="N20" s="7">
        <f t="shared" si="5"/>
        <v>-500</v>
      </c>
      <c r="P20" s="3">
        <v>2000</v>
      </c>
    </row>
    <row r="21" spans="1:16" x14ac:dyDescent="0.25">
      <c r="A21" t="s">
        <v>13</v>
      </c>
      <c r="C21" s="3">
        <v>442.76</v>
      </c>
      <c r="E21" s="3">
        <f t="shared" ref="E21:E22" si="6">P21/12</f>
        <v>435</v>
      </c>
      <c r="G21" s="3">
        <f t="shared" si="4"/>
        <v>7.7599999999999909</v>
      </c>
      <c r="J21" s="7">
        <f>'August 2013'!J21+C21</f>
        <v>1320.3899999999999</v>
      </c>
      <c r="L21" s="7">
        <f>'August 2013'!L21+E21</f>
        <v>1305</v>
      </c>
      <c r="N21" s="7">
        <f t="shared" si="5"/>
        <v>15.389999999999873</v>
      </c>
      <c r="P21" s="3">
        <v>5220</v>
      </c>
    </row>
    <row r="22" spans="1:16" x14ac:dyDescent="0.25">
      <c r="A22" t="s">
        <v>14</v>
      </c>
      <c r="C22" s="3">
        <v>2767.5</v>
      </c>
      <c r="E22" s="3">
        <f t="shared" si="6"/>
        <v>2767.5</v>
      </c>
      <c r="G22" s="3">
        <f t="shared" si="4"/>
        <v>0</v>
      </c>
      <c r="J22" s="7">
        <f>'August 2013'!J22+C22</f>
        <v>8302.5</v>
      </c>
      <c r="L22" s="7">
        <f>'August 2013'!L22+E22</f>
        <v>8302.5</v>
      </c>
      <c r="N22" s="7">
        <f t="shared" si="5"/>
        <v>0</v>
      </c>
      <c r="P22" s="3">
        <v>33210</v>
      </c>
    </row>
    <row r="23" spans="1:16" x14ac:dyDescent="0.25">
      <c r="A23" t="s">
        <v>15</v>
      </c>
      <c r="C23" s="3">
        <v>0</v>
      </c>
      <c r="E23" s="3">
        <v>0</v>
      </c>
      <c r="G23" s="3">
        <f t="shared" si="4"/>
        <v>0</v>
      </c>
      <c r="J23" s="7">
        <f>'August 2013'!J23+C23</f>
        <v>3652</v>
      </c>
      <c r="L23" s="7">
        <f>'August 2013'!L23+E23</f>
        <v>3652</v>
      </c>
      <c r="N23" s="7">
        <f t="shared" si="5"/>
        <v>0</v>
      </c>
      <c r="P23" s="3">
        <v>3652</v>
      </c>
    </row>
    <row r="24" spans="1:16" x14ac:dyDescent="0.25">
      <c r="A24" t="s">
        <v>16</v>
      </c>
      <c r="C24" s="3">
        <v>0</v>
      </c>
      <c r="E24" s="3">
        <v>0</v>
      </c>
      <c r="G24" s="3">
        <f t="shared" si="4"/>
        <v>0</v>
      </c>
      <c r="J24" s="7">
        <f>'August 2013'!J24+C24</f>
        <v>531</v>
      </c>
      <c r="L24" s="7">
        <f>'August 2013'!L24+E24</f>
        <v>531</v>
      </c>
      <c r="N24" s="7">
        <f t="shared" si="5"/>
        <v>0</v>
      </c>
      <c r="P24" s="3">
        <v>531</v>
      </c>
    </row>
    <row r="25" spans="1:16" x14ac:dyDescent="0.25">
      <c r="A25" t="s">
        <v>17</v>
      </c>
      <c r="C25" s="3">
        <v>0</v>
      </c>
      <c r="E25" s="3">
        <v>0</v>
      </c>
      <c r="G25" s="3">
        <f t="shared" si="4"/>
        <v>0</v>
      </c>
      <c r="J25" s="7">
        <f>'August 2013'!J25+C25</f>
        <v>0</v>
      </c>
      <c r="L25" s="7">
        <f>'August 2013'!L25+E25</f>
        <v>0</v>
      </c>
      <c r="N25" s="7">
        <f t="shared" si="5"/>
        <v>0</v>
      </c>
      <c r="P25" s="3">
        <v>435</v>
      </c>
    </row>
    <row r="26" spans="1:16" x14ac:dyDescent="0.25">
      <c r="A26" t="s">
        <v>18</v>
      </c>
      <c r="C26" s="3">
        <v>0</v>
      </c>
      <c r="E26" s="3">
        <f t="shared" ref="E26:E43" si="7">P26/12</f>
        <v>583.33333333333337</v>
      </c>
      <c r="G26" s="3">
        <f t="shared" si="4"/>
        <v>-583.33333333333337</v>
      </c>
      <c r="J26" s="7">
        <f>'August 2013'!J26+C26</f>
        <v>808.06</v>
      </c>
      <c r="L26" s="7">
        <f>'August 2013'!L26+E26</f>
        <v>1750</v>
      </c>
      <c r="N26" s="7">
        <f t="shared" si="5"/>
        <v>-941.94</v>
      </c>
      <c r="P26" s="3">
        <v>7000</v>
      </c>
    </row>
    <row r="27" spans="1:16" x14ac:dyDescent="0.25">
      <c r="A27" t="s">
        <v>19</v>
      </c>
      <c r="C27" s="3">
        <v>0</v>
      </c>
      <c r="E27" s="3">
        <f t="shared" si="7"/>
        <v>125</v>
      </c>
      <c r="G27" s="3">
        <f t="shared" si="4"/>
        <v>-125</v>
      </c>
      <c r="J27" s="7">
        <f>'August 2013'!J27+C27</f>
        <v>0</v>
      </c>
      <c r="L27" s="7">
        <f>'August 2013'!L27+E27</f>
        <v>375</v>
      </c>
      <c r="N27" s="7">
        <f t="shared" si="5"/>
        <v>-375</v>
      </c>
      <c r="P27" s="3">
        <v>1500</v>
      </c>
    </row>
    <row r="28" spans="1:16" x14ac:dyDescent="0.25">
      <c r="A28" t="s">
        <v>20</v>
      </c>
      <c r="C28" s="3">
        <v>0</v>
      </c>
      <c r="E28" s="3">
        <v>0</v>
      </c>
      <c r="G28" s="3">
        <f t="shared" si="4"/>
        <v>0</v>
      </c>
      <c r="J28" s="7">
        <f>'August 2013'!J28+C28</f>
        <v>0</v>
      </c>
      <c r="L28" s="7">
        <f>'August 2013'!L28+E28</f>
        <v>0</v>
      </c>
      <c r="N28" s="7">
        <f t="shared" si="5"/>
        <v>0</v>
      </c>
      <c r="P28" s="3">
        <v>5000</v>
      </c>
    </row>
    <row r="29" spans="1:16" x14ac:dyDescent="0.25">
      <c r="A29" t="s">
        <v>21</v>
      </c>
      <c r="C29" s="3">
        <v>0</v>
      </c>
      <c r="E29" s="3">
        <v>0</v>
      </c>
      <c r="G29" s="3">
        <f t="shared" si="4"/>
        <v>0</v>
      </c>
      <c r="J29" s="7">
        <f>'August 2013'!J29+C29</f>
        <v>0</v>
      </c>
      <c r="L29" s="7">
        <f>'August 2013'!L29+E29</f>
        <v>0</v>
      </c>
      <c r="N29" s="7">
        <f t="shared" si="5"/>
        <v>0</v>
      </c>
      <c r="P29" s="3">
        <v>2000</v>
      </c>
    </row>
    <row r="30" spans="1:16" x14ac:dyDescent="0.25">
      <c r="A30" t="s">
        <v>22</v>
      </c>
      <c r="C30" s="3">
        <v>0</v>
      </c>
      <c r="E30" s="3">
        <f t="shared" si="7"/>
        <v>12.5</v>
      </c>
      <c r="G30" s="3">
        <f t="shared" si="4"/>
        <v>-12.5</v>
      </c>
      <c r="J30" s="7">
        <f>'August 2013'!J30+C30</f>
        <v>0</v>
      </c>
      <c r="L30" s="7">
        <f>'August 2013'!L30+E30</f>
        <v>37.5</v>
      </c>
      <c r="N30" s="7">
        <f t="shared" si="5"/>
        <v>-37.5</v>
      </c>
      <c r="P30" s="3">
        <v>150</v>
      </c>
    </row>
    <row r="31" spans="1:16" x14ac:dyDescent="0.25">
      <c r="A31" t="s">
        <v>23</v>
      </c>
      <c r="C31" s="3">
        <v>0</v>
      </c>
      <c r="E31" s="3">
        <v>0</v>
      </c>
      <c r="G31" s="3">
        <f t="shared" si="4"/>
        <v>0</v>
      </c>
      <c r="J31" s="7">
        <f>'August 2013'!J31+C31</f>
        <v>0</v>
      </c>
      <c r="L31" s="7">
        <f>'August 2013'!L31+E31</f>
        <v>0</v>
      </c>
      <c r="N31" s="7">
        <f t="shared" si="5"/>
        <v>0</v>
      </c>
      <c r="P31" s="3">
        <v>1200</v>
      </c>
    </row>
    <row r="32" spans="1:16" x14ac:dyDescent="0.25">
      <c r="A32" t="s">
        <v>24</v>
      </c>
      <c r="C32" s="3">
        <v>0</v>
      </c>
      <c r="E32" s="3">
        <f t="shared" si="7"/>
        <v>125</v>
      </c>
      <c r="G32" s="3">
        <f t="shared" si="4"/>
        <v>-125</v>
      </c>
      <c r="J32" s="7">
        <f>'August 2013'!J32+C32</f>
        <v>150</v>
      </c>
      <c r="L32" s="7">
        <f>'August 2013'!L32+E32</f>
        <v>375</v>
      </c>
      <c r="N32" s="7">
        <f t="shared" si="5"/>
        <v>-225</v>
      </c>
      <c r="P32" s="3">
        <v>1500</v>
      </c>
    </row>
    <row r="33" spans="1:16" x14ac:dyDescent="0.25">
      <c r="A33" t="s">
        <v>25</v>
      </c>
      <c r="C33" s="3">
        <v>0</v>
      </c>
      <c r="E33" s="3">
        <v>0</v>
      </c>
      <c r="G33" s="3">
        <f t="shared" si="4"/>
        <v>0</v>
      </c>
      <c r="J33" s="7">
        <f>'August 2013'!J33+C33</f>
        <v>0</v>
      </c>
      <c r="L33" s="7">
        <f>'August 2013'!L33+E33</f>
        <v>0</v>
      </c>
      <c r="N33" s="7">
        <f t="shared" si="5"/>
        <v>0</v>
      </c>
      <c r="P33" s="3">
        <v>1900</v>
      </c>
    </row>
    <row r="34" spans="1:16" x14ac:dyDescent="0.25">
      <c r="A34" t="s">
        <v>26</v>
      </c>
      <c r="C34" s="3">
        <v>2233.4699999999998</v>
      </c>
      <c r="E34" s="3">
        <f t="shared" si="7"/>
        <v>833.33333333333337</v>
      </c>
      <c r="G34" s="3">
        <f t="shared" si="4"/>
        <v>1400.1366666666663</v>
      </c>
      <c r="J34" s="7">
        <f>'August 2013'!J34+C34</f>
        <v>3408.47</v>
      </c>
      <c r="L34" s="7">
        <f>'August 2013'!L34+E34</f>
        <v>2500</v>
      </c>
      <c r="N34" s="7">
        <f t="shared" si="5"/>
        <v>908.4699999999998</v>
      </c>
      <c r="P34" s="3">
        <v>10000</v>
      </c>
    </row>
    <row r="35" spans="1:16" x14ac:dyDescent="0.25">
      <c r="A35" t="s">
        <v>63</v>
      </c>
      <c r="C35" s="3">
        <v>0</v>
      </c>
      <c r="E35" s="3">
        <v>0</v>
      </c>
      <c r="G35" s="3">
        <v>0</v>
      </c>
      <c r="J35" s="7">
        <v>0</v>
      </c>
      <c r="L35" s="7">
        <v>0</v>
      </c>
      <c r="N35" s="7">
        <v>0</v>
      </c>
      <c r="P35" s="3">
        <v>2850</v>
      </c>
    </row>
    <row r="36" spans="1:16" x14ac:dyDescent="0.25">
      <c r="A36" t="s">
        <v>27</v>
      </c>
      <c r="G36" s="3" t="s">
        <v>39</v>
      </c>
      <c r="J36" s="7" t="s">
        <v>39</v>
      </c>
      <c r="L36" s="7" t="s">
        <v>39</v>
      </c>
      <c r="N36" s="7" t="s">
        <v>39</v>
      </c>
    </row>
    <row r="37" spans="1:16" x14ac:dyDescent="0.25">
      <c r="A37" t="s">
        <v>28</v>
      </c>
      <c r="C37" s="3">
        <v>50</v>
      </c>
      <c r="E37" s="3">
        <f t="shared" si="7"/>
        <v>50</v>
      </c>
      <c r="G37" s="3">
        <f t="shared" si="4"/>
        <v>0</v>
      </c>
      <c r="J37" s="7">
        <f>'August 2013'!J37+C37</f>
        <v>150</v>
      </c>
      <c r="L37" s="7">
        <f>'August 2013'!L37+E37</f>
        <v>150</v>
      </c>
      <c r="N37" s="7">
        <f t="shared" si="5"/>
        <v>0</v>
      </c>
      <c r="P37" s="3">
        <v>600</v>
      </c>
    </row>
    <row r="38" spans="1:16" x14ac:dyDescent="0.25">
      <c r="A38" t="s">
        <v>37</v>
      </c>
      <c r="C38" s="3">
        <v>0</v>
      </c>
      <c r="E38" s="3">
        <v>0</v>
      </c>
      <c r="G38" s="3">
        <f t="shared" si="4"/>
        <v>0</v>
      </c>
      <c r="J38" s="7">
        <f>'August 2013'!J38+C38</f>
        <v>119</v>
      </c>
      <c r="L38" s="7">
        <f>'August 2013'!L38+E38</f>
        <v>106.25</v>
      </c>
      <c r="N38" s="7">
        <f t="shared" si="5"/>
        <v>12.75</v>
      </c>
      <c r="P38" s="3">
        <v>425</v>
      </c>
    </row>
    <row r="39" spans="1:16" x14ac:dyDescent="0.25">
      <c r="A39" t="s">
        <v>29</v>
      </c>
      <c r="C39" s="3">
        <v>0</v>
      </c>
      <c r="E39" s="3">
        <v>0</v>
      </c>
      <c r="G39" s="3">
        <f t="shared" si="4"/>
        <v>0</v>
      </c>
      <c r="J39" s="7">
        <f>'August 2013'!J39+C39</f>
        <v>0</v>
      </c>
      <c r="L39" s="7">
        <f>'August 2013'!L39+E39</f>
        <v>0</v>
      </c>
      <c r="N39" s="7">
        <f t="shared" si="5"/>
        <v>0</v>
      </c>
      <c r="P39" s="3">
        <v>102</v>
      </c>
    </row>
    <row r="40" spans="1:16" x14ac:dyDescent="0.25">
      <c r="A40" t="s">
        <v>30</v>
      </c>
      <c r="C40" s="3">
        <v>0</v>
      </c>
      <c r="E40" s="3">
        <v>0</v>
      </c>
      <c r="G40" s="3">
        <f t="shared" si="4"/>
        <v>0</v>
      </c>
      <c r="J40" s="7">
        <f>'August 2013'!J40+C40</f>
        <v>0</v>
      </c>
      <c r="L40" s="7">
        <f>'August 2013'!L40+E40</f>
        <v>0</v>
      </c>
      <c r="N40" s="7">
        <f t="shared" si="5"/>
        <v>0</v>
      </c>
      <c r="P40" s="3">
        <v>200</v>
      </c>
    </row>
    <row r="41" spans="1:16" x14ac:dyDescent="0.25">
      <c r="A41" t="s">
        <v>31</v>
      </c>
      <c r="C41" s="3">
        <v>0</v>
      </c>
      <c r="E41" s="3">
        <v>0</v>
      </c>
      <c r="G41" s="3">
        <f t="shared" si="4"/>
        <v>0</v>
      </c>
      <c r="J41" s="7">
        <f>'August 2013'!J41+C41</f>
        <v>0</v>
      </c>
      <c r="L41" s="7">
        <f>'August 2013'!L41+E41</f>
        <v>0</v>
      </c>
      <c r="N41" s="7">
        <f t="shared" si="5"/>
        <v>0</v>
      </c>
      <c r="P41" s="3">
        <v>250</v>
      </c>
    </row>
    <row r="42" spans="1:16" x14ac:dyDescent="0.25">
      <c r="A42" t="s">
        <v>46</v>
      </c>
      <c r="C42" s="3">
        <v>0</v>
      </c>
      <c r="E42" s="3">
        <f t="shared" si="7"/>
        <v>41.666666666666664</v>
      </c>
      <c r="G42" s="3">
        <f t="shared" si="4"/>
        <v>-41.666666666666664</v>
      </c>
      <c r="J42" s="7">
        <f>'August 2013'!J42+C42</f>
        <v>25</v>
      </c>
      <c r="L42" s="7">
        <f>'August 2013'!L42+E42</f>
        <v>83.333333333333329</v>
      </c>
      <c r="N42" s="7">
        <f t="shared" si="5"/>
        <v>-58.333333333333329</v>
      </c>
      <c r="P42" s="3">
        <v>500</v>
      </c>
    </row>
    <row r="43" spans="1:16" x14ac:dyDescent="0.25">
      <c r="A43" t="s">
        <v>32</v>
      </c>
      <c r="C43" s="3">
        <v>0</v>
      </c>
      <c r="E43" s="3">
        <f t="shared" si="7"/>
        <v>83.333333333333329</v>
      </c>
      <c r="G43" s="3">
        <f t="shared" si="4"/>
        <v>-83.333333333333329</v>
      </c>
      <c r="J43" s="7">
        <f>'August 2013'!J43+C43</f>
        <v>20.12</v>
      </c>
      <c r="L43" s="7">
        <f>'July 2013'!E43+E43</f>
        <v>166.66666666666666</v>
      </c>
      <c r="N43" s="7">
        <f t="shared" si="5"/>
        <v>-146.54666666666665</v>
      </c>
      <c r="P43" s="3">
        <v>1000</v>
      </c>
    </row>
    <row r="45" spans="1:16" x14ac:dyDescent="0.25">
      <c r="A45" s="1" t="s">
        <v>33</v>
      </c>
      <c r="C45" s="3">
        <f>SUM(C17:C43)</f>
        <v>7593.73</v>
      </c>
      <c r="E45" s="3">
        <f>SUM(E17:E43)</f>
        <v>7323.3333333333321</v>
      </c>
      <c r="G45" s="4">
        <f>SUM(G17:G43)</f>
        <v>270.39666666666631</v>
      </c>
      <c r="J45" s="3">
        <f>SUM(J17:J43)</f>
        <v>21186.54</v>
      </c>
      <c r="L45" s="3">
        <f>SUM(L17:L43)</f>
        <v>22534.25</v>
      </c>
      <c r="N45" s="4">
        <f>SUM(N17:N43)</f>
        <v>-1347.7100000000003</v>
      </c>
      <c r="P45" s="3">
        <f>SUM(P17:P43)</f>
        <v>93825</v>
      </c>
    </row>
  </sheetData>
  <pageMargins left="0" right="0" top="0" bottom="0" header="0.3" footer="0.3"/>
  <pageSetup scale="7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workbookViewId="0">
      <selection activeCell="P36" sqref="P36"/>
    </sheetView>
  </sheetViews>
  <sheetFormatPr defaultRowHeight="15" x14ac:dyDescent="0.25"/>
  <cols>
    <col min="2" max="2" width="16.85546875" customWidth="1"/>
    <col min="3" max="3" width="10" style="3" bestFit="1" customWidth="1"/>
    <col min="5" max="5" width="10.5703125" style="3" bestFit="1" customWidth="1"/>
    <col min="7" max="7" width="9.140625" style="3"/>
    <col min="14" max="14" width="12.140625" customWidth="1"/>
    <col min="16" max="16" width="11.5703125" style="3" bestFit="1" customWidth="1"/>
  </cols>
  <sheetData>
    <row r="2" spans="1:16" x14ac:dyDescent="0.25">
      <c r="D2" s="1" t="s">
        <v>51</v>
      </c>
      <c r="K2" s="1" t="s">
        <v>42</v>
      </c>
    </row>
    <row r="3" spans="1:16" x14ac:dyDescent="0.25">
      <c r="D3" s="1" t="s">
        <v>39</v>
      </c>
      <c r="J3" s="5" t="s">
        <v>40</v>
      </c>
      <c r="L3" s="5" t="s">
        <v>40</v>
      </c>
      <c r="N3" s="5" t="s">
        <v>40</v>
      </c>
      <c r="P3" s="6" t="s">
        <v>41</v>
      </c>
    </row>
    <row r="4" spans="1:16" x14ac:dyDescent="0.25">
      <c r="C4" s="4" t="s">
        <v>34</v>
      </c>
      <c r="E4" s="4" t="s">
        <v>35</v>
      </c>
      <c r="G4" s="4" t="s">
        <v>36</v>
      </c>
      <c r="J4" s="4" t="s">
        <v>34</v>
      </c>
      <c r="L4" s="4" t="s">
        <v>35</v>
      </c>
      <c r="N4" s="4" t="s">
        <v>36</v>
      </c>
    </row>
    <row r="5" spans="1:16" x14ac:dyDescent="0.25">
      <c r="A5" s="1" t="s">
        <v>52</v>
      </c>
    </row>
    <row r="6" spans="1:16" x14ac:dyDescent="0.25">
      <c r="A6" t="s">
        <v>1</v>
      </c>
      <c r="C6" s="3">
        <v>0</v>
      </c>
      <c r="E6" s="3">
        <v>0</v>
      </c>
      <c r="G6" s="3">
        <f>C6-E6</f>
        <v>0</v>
      </c>
      <c r="J6" s="7">
        <f>'Sept 2013'!J6+C6</f>
        <v>0</v>
      </c>
      <c r="L6">
        <v>0</v>
      </c>
      <c r="N6" s="7">
        <f>J6-L6</f>
        <v>0</v>
      </c>
      <c r="P6" s="3">
        <v>42000</v>
      </c>
    </row>
    <row r="7" spans="1:16" x14ac:dyDescent="0.25">
      <c r="A7" t="s">
        <v>2</v>
      </c>
      <c r="C7" s="3">
        <v>705.61</v>
      </c>
      <c r="E7" s="3">
        <f>P7/12</f>
        <v>650</v>
      </c>
      <c r="G7" s="3">
        <f t="shared" ref="G7:G10" si="0">C7-E7</f>
        <v>55.610000000000014</v>
      </c>
      <c r="J7" s="7">
        <f>'Sept 2013'!J7+C7</f>
        <v>2674.18</v>
      </c>
      <c r="L7" s="7">
        <f>'Sept 2013'!L7+E7</f>
        <v>2600</v>
      </c>
      <c r="N7" s="7">
        <f t="shared" ref="N7:N10" si="1">J7-L7</f>
        <v>74.179999999999836</v>
      </c>
      <c r="P7" s="3">
        <v>7800</v>
      </c>
    </row>
    <row r="8" spans="1:16" x14ac:dyDescent="0.25">
      <c r="A8" t="s">
        <v>3</v>
      </c>
      <c r="C8" s="3">
        <f>13.41+6.67</f>
        <v>20.079999999999998</v>
      </c>
      <c r="E8" s="3">
        <f t="shared" ref="E8:E10" si="2">P8/12</f>
        <v>20</v>
      </c>
      <c r="G8" s="3">
        <f t="shared" si="0"/>
        <v>7.9999999999998295E-2</v>
      </c>
      <c r="J8" s="7">
        <f>'Sept 2013'!J8+C8</f>
        <v>82.039999999999992</v>
      </c>
      <c r="L8" s="7">
        <f>'Sept 2013'!L8+E8</f>
        <v>80</v>
      </c>
      <c r="N8" s="7">
        <f t="shared" si="1"/>
        <v>2.039999999999992</v>
      </c>
      <c r="P8" s="3">
        <v>240</v>
      </c>
    </row>
    <row r="9" spans="1:16" x14ac:dyDescent="0.25">
      <c r="A9" t="s">
        <v>4</v>
      </c>
      <c r="C9" s="3">
        <v>0</v>
      </c>
      <c r="E9" s="3">
        <f>P9/4</f>
        <v>6375</v>
      </c>
      <c r="G9" s="3">
        <f t="shared" si="0"/>
        <v>-6375</v>
      </c>
      <c r="J9" s="7">
        <f>'Sept 2013'!J9+C9</f>
        <v>6805.9</v>
      </c>
      <c r="L9" s="7">
        <f>'Sept 2013'!L9+E9</f>
        <v>12750</v>
      </c>
      <c r="N9" s="7">
        <f t="shared" si="1"/>
        <v>-5944.1</v>
      </c>
      <c r="P9" s="3">
        <v>25500</v>
      </c>
    </row>
    <row r="10" spans="1:16" x14ac:dyDescent="0.25">
      <c r="A10" t="s">
        <v>5</v>
      </c>
      <c r="C10" s="3">
        <v>271.25</v>
      </c>
      <c r="E10" s="3">
        <f t="shared" si="2"/>
        <v>272</v>
      </c>
      <c r="G10" s="3">
        <f t="shared" si="0"/>
        <v>-0.75</v>
      </c>
      <c r="J10" s="7">
        <f>'Sept 2013'!J10+C10</f>
        <v>1086.1799999999998</v>
      </c>
      <c r="L10" s="7">
        <f>'Sept 2013'!L10+E10</f>
        <v>1088</v>
      </c>
      <c r="N10" s="7">
        <f t="shared" si="1"/>
        <v>-1.8200000000001637</v>
      </c>
      <c r="P10" s="3">
        <v>3264</v>
      </c>
    </row>
    <row r="12" spans="1:16" x14ac:dyDescent="0.25">
      <c r="A12" s="1" t="s">
        <v>6</v>
      </c>
      <c r="C12" s="3">
        <f>SUM(C6:C10)</f>
        <v>996.94</v>
      </c>
      <c r="E12" s="3">
        <f>SUM(E6:E10)</f>
        <v>7317</v>
      </c>
      <c r="G12" s="3">
        <f>SUM(G6:G10)</f>
        <v>-6320.06</v>
      </c>
      <c r="J12" s="3">
        <f>SUM(J6:J10)</f>
        <v>10648.3</v>
      </c>
      <c r="L12" s="3">
        <f>SUM(L6:L10)</f>
        <v>16518</v>
      </c>
      <c r="N12" s="3">
        <f>SUM(N6:N10)</f>
        <v>-5869.7000000000007</v>
      </c>
      <c r="P12" s="3">
        <f>SUM(P6:P10)</f>
        <v>78804</v>
      </c>
    </row>
    <row r="15" spans="1:16" x14ac:dyDescent="0.25">
      <c r="A15" s="1" t="s">
        <v>53</v>
      </c>
    </row>
    <row r="16" spans="1:16" x14ac:dyDescent="0.25">
      <c r="A16" t="s">
        <v>8</v>
      </c>
    </row>
    <row r="17" spans="1:16" x14ac:dyDescent="0.25">
      <c r="A17" t="s">
        <v>9</v>
      </c>
      <c r="C17" s="3">
        <f>300+300</f>
        <v>600</v>
      </c>
      <c r="E17" s="3">
        <f t="shared" ref="E17" si="3">P17/12</f>
        <v>300</v>
      </c>
      <c r="G17" s="3">
        <f t="shared" ref="G17:G43" si="4">C17-E17</f>
        <v>300</v>
      </c>
      <c r="J17" s="7">
        <f>'Sept 2013'!J17+C17</f>
        <v>1500</v>
      </c>
      <c r="L17" s="7">
        <f>'Sept 2013'!L17+E17</f>
        <v>1200</v>
      </c>
      <c r="N17" s="7">
        <f t="shared" ref="N17:N43" si="5">J17-L17</f>
        <v>300</v>
      </c>
      <c r="P17" s="3">
        <v>3600</v>
      </c>
    </row>
    <row r="18" spans="1:16" x14ac:dyDescent="0.25">
      <c r="A18" t="s">
        <v>10</v>
      </c>
      <c r="C18" s="3">
        <v>0</v>
      </c>
      <c r="E18" s="3">
        <v>0</v>
      </c>
      <c r="G18" s="3">
        <f t="shared" si="4"/>
        <v>0</v>
      </c>
      <c r="J18" s="7">
        <f>'Sept 2013'!J18+C18</f>
        <v>1500</v>
      </c>
      <c r="L18" s="7">
        <f>'Sept 2013'!L18+E18</f>
        <v>1500</v>
      </c>
      <c r="N18" s="7">
        <f t="shared" si="5"/>
        <v>0</v>
      </c>
      <c r="P18" s="3">
        <v>6000</v>
      </c>
    </row>
    <row r="19" spans="1:16" x14ac:dyDescent="0.25">
      <c r="A19" t="s">
        <v>11</v>
      </c>
      <c r="C19" s="3">
        <v>0</v>
      </c>
      <c r="E19" s="3">
        <v>0</v>
      </c>
      <c r="G19" s="3">
        <f t="shared" si="4"/>
        <v>0</v>
      </c>
      <c r="J19" s="7">
        <f>'Sept 2013'!J19+C19</f>
        <v>300</v>
      </c>
      <c r="L19" s="7">
        <f>'Sept 2013'!L19+E19</f>
        <v>300</v>
      </c>
      <c r="N19" s="7">
        <f t="shared" si="5"/>
        <v>0</v>
      </c>
      <c r="P19" s="3">
        <v>3000</v>
      </c>
    </row>
    <row r="20" spans="1:16" x14ac:dyDescent="0.25">
      <c r="A20" t="s">
        <v>12</v>
      </c>
      <c r="C20" s="3">
        <v>0</v>
      </c>
      <c r="E20" s="3">
        <f>P20/12</f>
        <v>166.66666666666666</v>
      </c>
      <c r="G20" s="3">
        <f t="shared" si="4"/>
        <v>-166.66666666666666</v>
      </c>
      <c r="J20" s="7">
        <f>'Sept 2013'!J20+C20</f>
        <v>0</v>
      </c>
      <c r="L20" s="7">
        <f>'Sept 2013'!L20+E20</f>
        <v>666.66666666666663</v>
      </c>
      <c r="N20" s="7">
        <f t="shared" si="5"/>
        <v>-666.66666666666663</v>
      </c>
      <c r="P20" s="3">
        <v>2000</v>
      </c>
    </row>
    <row r="21" spans="1:16" x14ac:dyDescent="0.25">
      <c r="A21" t="s">
        <v>13</v>
      </c>
      <c r="C21" s="3">
        <v>439.64</v>
      </c>
      <c r="E21" s="3">
        <f t="shared" ref="E21:E22" si="6">P21/12</f>
        <v>435</v>
      </c>
      <c r="G21" s="3">
        <f t="shared" si="4"/>
        <v>4.6399999999999864</v>
      </c>
      <c r="J21" s="7">
        <f>'Sept 2013'!J21+C21</f>
        <v>1760.0299999999997</v>
      </c>
      <c r="L21" s="7">
        <f>'Sept 2013'!L21+E21</f>
        <v>1740</v>
      </c>
      <c r="N21" s="7">
        <f t="shared" si="5"/>
        <v>20.029999999999745</v>
      </c>
      <c r="P21" s="3">
        <v>5220</v>
      </c>
    </row>
    <row r="22" spans="1:16" x14ac:dyDescent="0.25">
      <c r="A22" t="s">
        <v>14</v>
      </c>
      <c r="C22" s="3">
        <v>2767.5</v>
      </c>
      <c r="E22" s="3">
        <f t="shared" si="6"/>
        <v>2767.5</v>
      </c>
      <c r="G22" s="3">
        <f t="shared" si="4"/>
        <v>0</v>
      </c>
      <c r="J22" s="7">
        <f>'Sept 2013'!J22+C22</f>
        <v>11070</v>
      </c>
      <c r="L22" s="7">
        <f>'Sept 2013'!L22+E22</f>
        <v>11070</v>
      </c>
      <c r="N22" s="7">
        <f t="shared" si="5"/>
        <v>0</v>
      </c>
      <c r="P22" s="3">
        <v>33210</v>
      </c>
    </row>
    <row r="23" spans="1:16" x14ac:dyDescent="0.25">
      <c r="A23" t="s">
        <v>15</v>
      </c>
      <c r="C23" s="3">
        <v>0</v>
      </c>
      <c r="E23" s="3">
        <v>0</v>
      </c>
      <c r="G23" s="3">
        <f t="shared" si="4"/>
        <v>0</v>
      </c>
      <c r="J23" s="7">
        <f>'Sept 2013'!J23+C23</f>
        <v>3652</v>
      </c>
      <c r="L23" s="7">
        <f>'Sept 2013'!L23+E23</f>
        <v>3652</v>
      </c>
      <c r="N23" s="7">
        <f t="shared" si="5"/>
        <v>0</v>
      </c>
      <c r="P23" s="3">
        <v>3652</v>
      </c>
    </row>
    <row r="24" spans="1:16" x14ac:dyDescent="0.25">
      <c r="A24" t="s">
        <v>16</v>
      </c>
      <c r="C24" s="3">
        <v>0</v>
      </c>
      <c r="E24" s="3">
        <v>0</v>
      </c>
      <c r="G24" s="3">
        <f t="shared" si="4"/>
        <v>0</v>
      </c>
      <c r="J24" s="7">
        <f>'Sept 2013'!J24+C24</f>
        <v>531</v>
      </c>
      <c r="L24" s="7">
        <f>'Sept 2013'!L24+E24</f>
        <v>531</v>
      </c>
      <c r="N24" s="7">
        <f t="shared" si="5"/>
        <v>0</v>
      </c>
      <c r="P24" s="3">
        <v>531</v>
      </c>
    </row>
    <row r="25" spans="1:16" x14ac:dyDescent="0.25">
      <c r="A25" t="s">
        <v>17</v>
      </c>
      <c r="C25" s="3">
        <v>0</v>
      </c>
      <c r="E25" s="3">
        <v>0</v>
      </c>
      <c r="G25" s="3">
        <f t="shared" si="4"/>
        <v>0</v>
      </c>
      <c r="J25" s="7">
        <f>'Sept 2013'!J25+C25</f>
        <v>0</v>
      </c>
      <c r="L25" s="7">
        <f>'Sept 2013'!L25+E25</f>
        <v>0</v>
      </c>
      <c r="N25" s="7">
        <f t="shared" si="5"/>
        <v>0</v>
      </c>
      <c r="P25" s="3">
        <v>435</v>
      </c>
    </row>
    <row r="26" spans="1:16" x14ac:dyDescent="0.25">
      <c r="A26" t="s">
        <v>18</v>
      </c>
      <c r="C26" s="3">
        <v>0</v>
      </c>
      <c r="E26" s="3">
        <f t="shared" ref="E26:E43" si="7">P26/12</f>
        <v>583.33333333333337</v>
      </c>
      <c r="G26" s="3">
        <f t="shared" si="4"/>
        <v>-583.33333333333337</v>
      </c>
      <c r="J26" s="7">
        <f>'Sept 2013'!J26+C26</f>
        <v>808.06</v>
      </c>
      <c r="L26" s="7">
        <f>'Sept 2013'!L26+E26</f>
        <v>2333.3333333333335</v>
      </c>
      <c r="N26" s="7">
        <f t="shared" si="5"/>
        <v>-1525.2733333333335</v>
      </c>
      <c r="P26" s="3">
        <v>7000</v>
      </c>
    </row>
    <row r="27" spans="1:16" x14ac:dyDescent="0.25">
      <c r="A27" t="s">
        <v>19</v>
      </c>
      <c r="C27" s="3">
        <v>0</v>
      </c>
      <c r="E27" s="3">
        <f t="shared" si="7"/>
        <v>125</v>
      </c>
      <c r="G27" s="3">
        <f t="shared" si="4"/>
        <v>-125</v>
      </c>
      <c r="J27" s="7">
        <f>'Sept 2013'!J27+C27</f>
        <v>0</v>
      </c>
      <c r="L27" s="7">
        <f>'Sept 2013'!L27+E27</f>
        <v>500</v>
      </c>
      <c r="N27" s="7">
        <f t="shared" si="5"/>
        <v>-500</v>
      </c>
      <c r="P27" s="3">
        <v>1500</v>
      </c>
    </row>
    <row r="28" spans="1:16" x14ac:dyDescent="0.25">
      <c r="A28" t="s">
        <v>20</v>
      </c>
      <c r="C28" s="3">
        <v>0</v>
      </c>
      <c r="E28" s="3">
        <v>0</v>
      </c>
      <c r="G28" s="3">
        <f t="shared" si="4"/>
        <v>0</v>
      </c>
      <c r="J28" s="7">
        <f>'Sept 2013'!J28+C28</f>
        <v>0</v>
      </c>
      <c r="L28" s="7">
        <f>'Sept 2013'!L28+E28</f>
        <v>0</v>
      </c>
      <c r="N28" s="7">
        <f t="shared" si="5"/>
        <v>0</v>
      </c>
      <c r="P28" s="3">
        <v>5000</v>
      </c>
    </row>
    <row r="29" spans="1:16" x14ac:dyDescent="0.25">
      <c r="A29" t="s">
        <v>21</v>
      </c>
      <c r="C29" s="3">
        <v>0</v>
      </c>
      <c r="E29" s="3">
        <v>0</v>
      </c>
      <c r="G29" s="3">
        <f t="shared" si="4"/>
        <v>0</v>
      </c>
      <c r="J29" s="7">
        <f>'Sept 2013'!J29+C29</f>
        <v>0</v>
      </c>
      <c r="L29" s="7">
        <f>'Sept 2013'!L29+E29</f>
        <v>0</v>
      </c>
      <c r="N29" s="7">
        <f t="shared" si="5"/>
        <v>0</v>
      </c>
      <c r="P29" s="3">
        <v>2000</v>
      </c>
    </row>
    <row r="30" spans="1:16" x14ac:dyDescent="0.25">
      <c r="A30" t="s">
        <v>22</v>
      </c>
      <c r="C30" s="3">
        <v>21.42</v>
      </c>
      <c r="E30" s="3">
        <f t="shared" si="7"/>
        <v>12.5</v>
      </c>
      <c r="G30" s="3">
        <f t="shared" si="4"/>
        <v>8.9200000000000017</v>
      </c>
      <c r="J30" s="7">
        <f>'Sept 2013'!J30+C30</f>
        <v>21.42</v>
      </c>
      <c r="L30" s="7">
        <f>'Sept 2013'!L30+E30</f>
        <v>50</v>
      </c>
      <c r="N30" s="7">
        <f t="shared" si="5"/>
        <v>-28.58</v>
      </c>
      <c r="P30" s="3">
        <v>150</v>
      </c>
    </row>
    <row r="31" spans="1:16" x14ac:dyDescent="0.25">
      <c r="A31" t="s">
        <v>23</v>
      </c>
      <c r="C31" s="3">
        <v>0</v>
      </c>
      <c r="E31" s="3">
        <v>0</v>
      </c>
      <c r="G31" s="3">
        <f t="shared" si="4"/>
        <v>0</v>
      </c>
      <c r="J31" s="7">
        <f>'Sept 2013'!J31+C31</f>
        <v>0</v>
      </c>
      <c r="L31" s="7">
        <f>'Sept 2013'!L31+E31</f>
        <v>0</v>
      </c>
      <c r="N31" s="7">
        <f t="shared" si="5"/>
        <v>0</v>
      </c>
      <c r="P31" s="3">
        <v>1200</v>
      </c>
    </row>
    <row r="32" spans="1:16" x14ac:dyDescent="0.25">
      <c r="A32" t="s">
        <v>24</v>
      </c>
      <c r="C32" s="3">
        <v>0</v>
      </c>
      <c r="E32" s="3">
        <f t="shared" si="7"/>
        <v>125</v>
      </c>
      <c r="G32" s="3">
        <f t="shared" si="4"/>
        <v>-125</v>
      </c>
      <c r="J32" s="7">
        <f>'Sept 2013'!J32+C32</f>
        <v>150</v>
      </c>
      <c r="L32" s="7">
        <f>'Sept 2013'!L32+E32</f>
        <v>500</v>
      </c>
      <c r="N32" s="7">
        <f t="shared" si="5"/>
        <v>-350</v>
      </c>
      <c r="P32" s="3">
        <v>1500</v>
      </c>
    </row>
    <row r="33" spans="1:16" x14ac:dyDescent="0.25">
      <c r="A33" t="s">
        <v>25</v>
      </c>
      <c r="C33" s="3">
        <v>0</v>
      </c>
      <c r="E33" s="3">
        <v>0</v>
      </c>
      <c r="G33" s="3">
        <f t="shared" si="4"/>
        <v>0</v>
      </c>
      <c r="J33" s="7">
        <f>'Sept 2013'!J33+C33</f>
        <v>0</v>
      </c>
      <c r="L33" s="7">
        <f>'Sept 2013'!L33+E33</f>
        <v>0</v>
      </c>
      <c r="N33" s="7">
        <f t="shared" si="5"/>
        <v>0</v>
      </c>
      <c r="P33" s="3">
        <v>1900</v>
      </c>
    </row>
    <row r="34" spans="1:16" x14ac:dyDescent="0.25">
      <c r="A34" t="s">
        <v>26</v>
      </c>
      <c r="C34" s="3">
        <v>0</v>
      </c>
      <c r="E34" s="3">
        <f t="shared" si="7"/>
        <v>833.33333333333337</v>
      </c>
      <c r="G34" s="3">
        <f t="shared" si="4"/>
        <v>-833.33333333333337</v>
      </c>
      <c r="J34" s="7">
        <f>'Sept 2013'!J34+C34</f>
        <v>3408.47</v>
      </c>
      <c r="L34" s="7">
        <f>'Sept 2013'!L34+E34</f>
        <v>3333.3333333333335</v>
      </c>
      <c r="N34" s="7">
        <f t="shared" si="5"/>
        <v>75.136666666666315</v>
      </c>
      <c r="P34" s="3">
        <v>10000</v>
      </c>
    </row>
    <row r="35" spans="1:16" x14ac:dyDescent="0.25">
      <c r="A35" t="s">
        <v>63</v>
      </c>
      <c r="C35" s="3">
        <v>0</v>
      </c>
      <c r="E35" s="3">
        <v>0</v>
      </c>
      <c r="G35" s="3">
        <v>0</v>
      </c>
      <c r="J35" s="7">
        <v>0</v>
      </c>
      <c r="L35" s="7">
        <v>0</v>
      </c>
      <c r="N35" s="7">
        <v>0</v>
      </c>
      <c r="P35" s="3">
        <v>2850</v>
      </c>
    </row>
    <row r="36" spans="1:16" x14ac:dyDescent="0.25">
      <c r="A36" t="s">
        <v>27</v>
      </c>
      <c r="G36" s="3" t="s">
        <v>39</v>
      </c>
      <c r="J36" s="7" t="s">
        <v>39</v>
      </c>
      <c r="L36" s="7" t="s">
        <v>39</v>
      </c>
      <c r="N36" s="7" t="s">
        <v>39</v>
      </c>
    </row>
    <row r="37" spans="1:16" x14ac:dyDescent="0.25">
      <c r="A37" t="s">
        <v>28</v>
      </c>
      <c r="C37" s="3">
        <f>50+50</f>
        <v>100</v>
      </c>
      <c r="E37" s="3">
        <f t="shared" si="7"/>
        <v>50</v>
      </c>
      <c r="G37" s="3">
        <f t="shared" si="4"/>
        <v>50</v>
      </c>
      <c r="J37" s="7">
        <f>'Sept 2013'!J37+C37</f>
        <v>250</v>
      </c>
      <c r="L37" s="7">
        <f>'Sept 2013'!L37+E37</f>
        <v>200</v>
      </c>
      <c r="N37" s="7">
        <f t="shared" si="5"/>
        <v>50</v>
      </c>
      <c r="P37" s="3">
        <v>600</v>
      </c>
    </row>
    <row r="38" spans="1:16" x14ac:dyDescent="0.25">
      <c r="A38" t="s">
        <v>37</v>
      </c>
      <c r="C38" s="3">
        <v>0</v>
      </c>
      <c r="E38" s="2">
        <f>P38/4</f>
        <v>106.25</v>
      </c>
      <c r="G38" s="3">
        <f t="shared" si="4"/>
        <v>-106.25</v>
      </c>
      <c r="J38" s="7">
        <f>'Sept 2013'!J38+C38</f>
        <v>119</v>
      </c>
      <c r="L38" s="7">
        <f>'Sept 2013'!L38+E38</f>
        <v>212.5</v>
      </c>
      <c r="N38" s="7">
        <f t="shared" si="5"/>
        <v>-93.5</v>
      </c>
      <c r="P38" s="3">
        <v>425</v>
      </c>
    </row>
    <row r="39" spans="1:16" x14ac:dyDescent="0.25">
      <c r="A39" t="s">
        <v>29</v>
      </c>
      <c r="C39" s="3">
        <v>101.8</v>
      </c>
      <c r="E39" s="3">
        <v>102</v>
      </c>
      <c r="G39" s="3">
        <f t="shared" si="4"/>
        <v>-0.20000000000000284</v>
      </c>
      <c r="J39" s="7">
        <f>'Sept 2013'!J39+C39</f>
        <v>101.8</v>
      </c>
      <c r="L39" s="7">
        <f>'Sept 2013'!L39+E39</f>
        <v>102</v>
      </c>
      <c r="N39" s="7">
        <f t="shared" si="5"/>
        <v>-0.20000000000000284</v>
      </c>
      <c r="P39" s="3">
        <v>102</v>
      </c>
    </row>
    <row r="40" spans="1:16" x14ac:dyDescent="0.25">
      <c r="A40" t="s">
        <v>30</v>
      </c>
      <c r="C40" s="3">
        <v>0</v>
      </c>
      <c r="E40" s="3">
        <v>0</v>
      </c>
      <c r="G40" s="3">
        <f t="shared" si="4"/>
        <v>0</v>
      </c>
      <c r="J40" s="7">
        <f>'Sept 2013'!J40+C40</f>
        <v>0</v>
      </c>
      <c r="L40" s="7">
        <f>'Sept 2013'!L40+E40</f>
        <v>0</v>
      </c>
      <c r="N40" s="7">
        <f t="shared" si="5"/>
        <v>0</v>
      </c>
      <c r="P40" s="3">
        <v>200</v>
      </c>
    </row>
    <row r="41" spans="1:16" x14ac:dyDescent="0.25">
      <c r="A41" t="s">
        <v>31</v>
      </c>
      <c r="C41" s="3">
        <v>0</v>
      </c>
      <c r="E41" s="3">
        <v>0</v>
      </c>
      <c r="G41" s="3">
        <f t="shared" si="4"/>
        <v>0</v>
      </c>
      <c r="J41" s="7">
        <f>'Sept 2013'!J41+C41</f>
        <v>0</v>
      </c>
      <c r="L41" s="7">
        <f>'Sept 2013'!L41+E41</f>
        <v>0</v>
      </c>
      <c r="N41" s="7">
        <f t="shared" si="5"/>
        <v>0</v>
      </c>
      <c r="P41" s="3">
        <v>250</v>
      </c>
    </row>
    <row r="42" spans="1:16" x14ac:dyDescent="0.25">
      <c r="A42" t="s">
        <v>46</v>
      </c>
      <c r="C42" s="3">
        <v>100</v>
      </c>
      <c r="E42" s="3">
        <f t="shared" si="7"/>
        <v>41.666666666666664</v>
      </c>
      <c r="G42" s="3">
        <f t="shared" si="4"/>
        <v>58.333333333333336</v>
      </c>
      <c r="J42" s="7">
        <f>'Sept 2013'!J42+C42</f>
        <v>125</v>
      </c>
      <c r="L42" s="7">
        <f>'Sept 2013'!L42+E42</f>
        <v>125</v>
      </c>
      <c r="N42" s="7">
        <f t="shared" si="5"/>
        <v>0</v>
      </c>
      <c r="P42" s="3">
        <v>500</v>
      </c>
    </row>
    <row r="43" spans="1:16" x14ac:dyDescent="0.25">
      <c r="A43" t="s">
        <v>32</v>
      </c>
      <c r="C43" s="3">
        <v>0</v>
      </c>
      <c r="E43" s="3">
        <f t="shared" si="7"/>
        <v>83.333333333333329</v>
      </c>
      <c r="G43" s="3">
        <f t="shared" si="4"/>
        <v>-83.333333333333329</v>
      </c>
      <c r="J43" s="7">
        <f>'Sept 2013'!J43+C43</f>
        <v>20.12</v>
      </c>
      <c r="L43" s="7">
        <f>'Sept 2013'!L43+E43</f>
        <v>250</v>
      </c>
      <c r="N43" s="7">
        <f t="shared" si="5"/>
        <v>-229.88</v>
      </c>
      <c r="P43" s="3">
        <v>1000</v>
      </c>
    </row>
    <row r="45" spans="1:16" x14ac:dyDescent="0.25">
      <c r="A45" s="1" t="s">
        <v>33</v>
      </c>
      <c r="C45" s="3">
        <f>SUM(C17:C43)</f>
        <v>4130.3600000000006</v>
      </c>
      <c r="E45" s="3">
        <f>SUM(E17:E43)</f>
        <v>5731.583333333333</v>
      </c>
      <c r="G45" s="4">
        <f>SUM(G17:G43)</f>
        <v>-1601.2233333333336</v>
      </c>
      <c r="J45" s="3">
        <f>SUM(J17:J43)</f>
        <v>25316.899999999998</v>
      </c>
      <c r="L45" s="3">
        <f>SUM(L17:L43)</f>
        <v>28265.833333333328</v>
      </c>
      <c r="N45" s="4">
        <f>SUM(N17:N43)</f>
        <v>-2948.9333333333338</v>
      </c>
      <c r="P45" s="3">
        <f>SUM(P17:P43)</f>
        <v>93825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workbookViewId="0">
      <selection activeCell="P36" sqref="P36"/>
    </sheetView>
  </sheetViews>
  <sheetFormatPr defaultRowHeight="15" x14ac:dyDescent="0.25"/>
  <cols>
    <col min="2" max="2" width="16.85546875" customWidth="1"/>
    <col min="3" max="3" width="10" style="3" bestFit="1" customWidth="1"/>
    <col min="5" max="5" width="10.5703125" style="3" bestFit="1" customWidth="1"/>
    <col min="7" max="7" width="9.140625" style="3"/>
    <col min="16" max="16" width="11.5703125" style="3" bestFit="1" customWidth="1"/>
  </cols>
  <sheetData>
    <row r="2" spans="1:16" x14ac:dyDescent="0.25">
      <c r="D2" s="1" t="s">
        <v>54</v>
      </c>
      <c r="K2" s="1" t="s">
        <v>42</v>
      </c>
    </row>
    <row r="3" spans="1:16" x14ac:dyDescent="0.25">
      <c r="D3" s="1" t="s">
        <v>39</v>
      </c>
      <c r="J3" s="5" t="s">
        <v>40</v>
      </c>
      <c r="L3" s="5" t="s">
        <v>40</v>
      </c>
      <c r="N3" s="5" t="s">
        <v>40</v>
      </c>
      <c r="P3" s="6" t="s">
        <v>41</v>
      </c>
    </row>
    <row r="4" spans="1:16" x14ac:dyDescent="0.25">
      <c r="C4" s="4" t="s">
        <v>34</v>
      </c>
      <c r="E4" s="4" t="s">
        <v>35</v>
      </c>
      <c r="G4" s="4" t="s">
        <v>36</v>
      </c>
      <c r="J4" s="4" t="s">
        <v>34</v>
      </c>
      <c r="L4" s="4" t="s">
        <v>35</v>
      </c>
      <c r="N4" s="4" t="s">
        <v>36</v>
      </c>
    </row>
    <row r="5" spans="1:16" x14ac:dyDescent="0.25">
      <c r="A5" s="1" t="s">
        <v>55</v>
      </c>
    </row>
    <row r="6" spans="1:16" x14ac:dyDescent="0.25">
      <c r="A6" t="s">
        <v>1</v>
      </c>
      <c r="C6" s="3">
        <v>0</v>
      </c>
      <c r="E6" s="3">
        <v>0</v>
      </c>
      <c r="G6" s="3">
        <f>C6-E6</f>
        <v>0</v>
      </c>
      <c r="J6" s="7">
        <f>'Oct 2013'!J6+C6</f>
        <v>0</v>
      </c>
      <c r="L6">
        <v>0</v>
      </c>
      <c r="N6" s="7">
        <f>J6-L6</f>
        <v>0</v>
      </c>
      <c r="P6" s="3">
        <v>42000</v>
      </c>
    </row>
    <row r="7" spans="1:16" x14ac:dyDescent="0.25">
      <c r="A7" t="s">
        <v>2</v>
      </c>
      <c r="C7" s="3">
        <v>650.46</v>
      </c>
      <c r="E7" s="3">
        <f>P7/12</f>
        <v>650</v>
      </c>
      <c r="G7" s="3">
        <f t="shared" ref="G7:G10" si="0">C7-E7</f>
        <v>0.46000000000003638</v>
      </c>
      <c r="J7" s="7">
        <f>'Oct 2013'!J7+C7</f>
        <v>3324.64</v>
      </c>
      <c r="L7" s="7">
        <f>'Oct 2013'!L7+E7</f>
        <v>3250</v>
      </c>
      <c r="N7" s="7">
        <f t="shared" ref="N7:N10" si="1">J7-L7</f>
        <v>74.639999999999873</v>
      </c>
      <c r="P7" s="3">
        <v>7800</v>
      </c>
    </row>
    <row r="8" spans="1:16" x14ac:dyDescent="0.25">
      <c r="A8" t="s">
        <v>3</v>
      </c>
      <c r="C8" s="3">
        <f>13.31+6.52</f>
        <v>19.829999999999998</v>
      </c>
      <c r="E8" s="3">
        <f t="shared" ref="E8:E10" si="2">P8/12</f>
        <v>20</v>
      </c>
      <c r="G8" s="3">
        <f t="shared" si="0"/>
        <v>-0.17000000000000171</v>
      </c>
      <c r="J8" s="7">
        <f>'Oct 2013'!J8+C8</f>
        <v>101.86999999999999</v>
      </c>
      <c r="L8" s="7">
        <f>'Oct 2013'!L8+E8</f>
        <v>100</v>
      </c>
      <c r="N8" s="7">
        <f t="shared" si="1"/>
        <v>1.8699999999999903</v>
      </c>
      <c r="P8" s="3">
        <v>240</v>
      </c>
    </row>
    <row r="9" spans="1:16" x14ac:dyDescent="0.25">
      <c r="A9" t="s">
        <v>4</v>
      </c>
      <c r="C9" s="3">
        <v>6630.87</v>
      </c>
      <c r="E9" s="3">
        <v>0</v>
      </c>
      <c r="G9" s="3">
        <f t="shared" si="0"/>
        <v>6630.87</v>
      </c>
      <c r="J9" s="7">
        <f>'Oct 2013'!J9+C9</f>
        <v>13436.77</v>
      </c>
      <c r="L9" s="7">
        <f>'Oct 2013'!L9+E9</f>
        <v>12750</v>
      </c>
      <c r="N9" s="7">
        <f t="shared" si="1"/>
        <v>686.77000000000044</v>
      </c>
      <c r="P9" s="3">
        <v>25500</v>
      </c>
    </row>
    <row r="10" spans="1:16" x14ac:dyDescent="0.25">
      <c r="A10" t="s">
        <v>5</v>
      </c>
      <c r="C10" s="3">
        <v>271.56</v>
      </c>
      <c r="E10" s="3">
        <f t="shared" si="2"/>
        <v>272</v>
      </c>
      <c r="G10" s="3">
        <f t="shared" si="0"/>
        <v>-0.43999999999999773</v>
      </c>
      <c r="J10" s="7">
        <f>'Oct 2013'!J10+C10</f>
        <v>1357.7399999999998</v>
      </c>
      <c r="L10" s="7">
        <f>'Oct 2013'!L10+E10</f>
        <v>1360</v>
      </c>
      <c r="N10" s="7">
        <f t="shared" si="1"/>
        <v>-2.2600000000002183</v>
      </c>
      <c r="P10" s="3">
        <v>3264</v>
      </c>
    </row>
    <row r="12" spans="1:16" x14ac:dyDescent="0.25">
      <c r="A12" s="1" t="s">
        <v>6</v>
      </c>
      <c r="C12" s="3">
        <f>SUM(C6:C10)</f>
        <v>7572.72</v>
      </c>
      <c r="E12" s="3">
        <f>SUM(E6:E10)</f>
        <v>942</v>
      </c>
      <c r="G12" s="3">
        <f>SUM(G6:G10)</f>
        <v>6630.72</v>
      </c>
      <c r="J12" s="3">
        <f>SUM(J6:J10)</f>
        <v>18221.019999999997</v>
      </c>
      <c r="L12" s="3">
        <f>SUM(L6:L10)</f>
        <v>17460</v>
      </c>
      <c r="N12" s="3">
        <f>SUM(N6:N10)</f>
        <v>761.0200000000001</v>
      </c>
      <c r="P12" s="3">
        <f>SUM(P6:P10)</f>
        <v>78804</v>
      </c>
    </row>
    <row r="15" spans="1:16" x14ac:dyDescent="0.25">
      <c r="A15" s="1" t="s">
        <v>56</v>
      </c>
    </row>
    <row r="16" spans="1:16" x14ac:dyDescent="0.25">
      <c r="A16" t="s">
        <v>8</v>
      </c>
    </row>
    <row r="17" spans="1:16" x14ac:dyDescent="0.25">
      <c r="A17" t="s">
        <v>9</v>
      </c>
      <c r="C17" s="3">
        <v>300</v>
      </c>
      <c r="E17" s="3">
        <f t="shared" ref="E17" si="3">P17/12</f>
        <v>300</v>
      </c>
      <c r="G17" s="3">
        <f t="shared" ref="G17:G43" si="4">C17-E17</f>
        <v>0</v>
      </c>
      <c r="J17" s="7">
        <f>'Oct 2013'!J17+C17</f>
        <v>1800</v>
      </c>
      <c r="L17" s="7">
        <f>'Oct 2013'!L17+E17</f>
        <v>1500</v>
      </c>
      <c r="N17" s="7">
        <f t="shared" ref="N17:N43" si="5">J17-L17</f>
        <v>300</v>
      </c>
      <c r="P17" s="3">
        <v>3600</v>
      </c>
    </row>
    <row r="18" spans="1:16" x14ac:dyDescent="0.25">
      <c r="A18" t="s">
        <v>10</v>
      </c>
      <c r="C18" s="3">
        <v>0</v>
      </c>
      <c r="E18" s="3">
        <v>0</v>
      </c>
      <c r="G18" s="3">
        <f t="shared" si="4"/>
        <v>0</v>
      </c>
      <c r="J18" s="7">
        <f>'Oct 2013'!J18+C18</f>
        <v>1500</v>
      </c>
      <c r="L18" s="7">
        <f>'Oct 2013'!L18+E18</f>
        <v>1500</v>
      </c>
      <c r="N18" s="7">
        <f t="shared" si="5"/>
        <v>0</v>
      </c>
      <c r="P18" s="3">
        <v>6000</v>
      </c>
    </row>
    <row r="19" spans="1:16" x14ac:dyDescent="0.25">
      <c r="A19" t="s">
        <v>11</v>
      </c>
      <c r="C19" s="3">
        <v>0</v>
      </c>
      <c r="E19" s="3">
        <v>0</v>
      </c>
      <c r="G19" s="3">
        <f t="shared" si="4"/>
        <v>0</v>
      </c>
      <c r="J19" s="7">
        <f>'Oct 2013'!J19+C19</f>
        <v>300</v>
      </c>
      <c r="L19" s="7">
        <f>'Oct 2013'!L19+E19</f>
        <v>300</v>
      </c>
      <c r="N19" s="7">
        <f t="shared" si="5"/>
        <v>0</v>
      </c>
      <c r="P19" s="3">
        <v>3000</v>
      </c>
    </row>
    <row r="20" spans="1:16" x14ac:dyDescent="0.25">
      <c r="A20" t="s">
        <v>12</v>
      </c>
      <c r="C20" s="3">
        <v>0</v>
      </c>
      <c r="E20" s="3">
        <f>P20/12</f>
        <v>166.66666666666666</v>
      </c>
      <c r="G20" s="3">
        <f t="shared" si="4"/>
        <v>-166.66666666666666</v>
      </c>
      <c r="J20" s="7">
        <f>'Oct 2013'!J20+C20</f>
        <v>0</v>
      </c>
      <c r="L20" s="7">
        <f>'Oct 2013'!L20+E20</f>
        <v>833.33333333333326</v>
      </c>
      <c r="N20" s="7">
        <f t="shared" si="5"/>
        <v>-833.33333333333326</v>
      </c>
      <c r="P20" s="3">
        <v>2000</v>
      </c>
    </row>
    <row r="21" spans="1:16" x14ac:dyDescent="0.25">
      <c r="A21" t="s">
        <v>13</v>
      </c>
      <c r="C21" s="3">
        <v>439.63</v>
      </c>
      <c r="E21" s="3">
        <f t="shared" ref="E21:E22" si="6">P21/12</f>
        <v>435</v>
      </c>
      <c r="G21" s="3">
        <f t="shared" si="4"/>
        <v>4.6299999999999955</v>
      </c>
      <c r="J21" s="7">
        <f>'Oct 2013'!J21+C21</f>
        <v>2199.66</v>
      </c>
      <c r="L21" s="7">
        <f>'Oct 2013'!L21+E21</f>
        <v>2175</v>
      </c>
      <c r="N21" s="7">
        <f t="shared" si="5"/>
        <v>24.659999999999854</v>
      </c>
      <c r="P21" s="3">
        <v>5220</v>
      </c>
    </row>
    <row r="22" spans="1:16" x14ac:dyDescent="0.25">
      <c r="A22" t="s">
        <v>14</v>
      </c>
      <c r="C22" s="3">
        <v>2767.5</v>
      </c>
      <c r="E22" s="3">
        <f t="shared" si="6"/>
        <v>2767.5</v>
      </c>
      <c r="G22" s="3">
        <f t="shared" si="4"/>
        <v>0</v>
      </c>
      <c r="J22" s="7">
        <f>'Oct 2013'!J22+C22</f>
        <v>13837.5</v>
      </c>
      <c r="L22" s="7">
        <f>'Oct 2013'!L22+E22</f>
        <v>13837.5</v>
      </c>
      <c r="N22" s="7">
        <f t="shared" si="5"/>
        <v>0</v>
      </c>
      <c r="P22" s="3">
        <v>33210</v>
      </c>
    </row>
    <row r="23" spans="1:16" x14ac:dyDescent="0.25">
      <c r="A23" t="s">
        <v>15</v>
      </c>
      <c r="C23" s="3">
        <v>0</v>
      </c>
      <c r="E23" s="3">
        <v>0</v>
      </c>
      <c r="G23" s="3">
        <f t="shared" si="4"/>
        <v>0</v>
      </c>
      <c r="J23" s="7">
        <f>'Oct 2013'!J23+C23</f>
        <v>3652</v>
      </c>
      <c r="L23" s="7">
        <f>'Oct 2013'!L23+E23</f>
        <v>3652</v>
      </c>
      <c r="N23" s="7">
        <f t="shared" si="5"/>
        <v>0</v>
      </c>
      <c r="P23" s="3">
        <v>3652</v>
      </c>
    </row>
    <row r="24" spans="1:16" x14ac:dyDescent="0.25">
      <c r="A24" t="s">
        <v>16</v>
      </c>
      <c r="C24" s="3">
        <v>0</v>
      </c>
      <c r="E24" s="3">
        <v>0</v>
      </c>
      <c r="G24" s="3">
        <f t="shared" si="4"/>
        <v>0</v>
      </c>
      <c r="J24" s="7">
        <f>'Oct 2013'!J24+C24</f>
        <v>531</v>
      </c>
      <c r="L24" s="7">
        <f>'Oct 2013'!L24+E24</f>
        <v>531</v>
      </c>
      <c r="N24" s="7">
        <f t="shared" si="5"/>
        <v>0</v>
      </c>
      <c r="P24" s="3">
        <v>531</v>
      </c>
    </row>
    <row r="25" spans="1:16" x14ac:dyDescent="0.25">
      <c r="A25" t="s">
        <v>17</v>
      </c>
      <c r="C25" s="3">
        <v>0</v>
      </c>
      <c r="E25" s="3">
        <v>0</v>
      </c>
      <c r="G25" s="3">
        <f t="shared" si="4"/>
        <v>0</v>
      </c>
      <c r="J25" s="7">
        <f>'Oct 2013'!J25+C25</f>
        <v>0</v>
      </c>
      <c r="L25" s="7">
        <f>'Oct 2013'!L25+E25</f>
        <v>0</v>
      </c>
      <c r="N25" s="7">
        <f t="shared" si="5"/>
        <v>0</v>
      </c>
      <c r="P25" s="3">
        <v>435</v>
      </c>
    </row>
    <row r="26" spans="1:16" x14ac:dyDescent="0.25">
      <c r="A26" t="s">
        <v>18</v>
      </c>
      <c r="C26" s="3">
        <v>0</v>
      </c>
      <c r="E26" s="3">
        <f t="shared" ref="E26:E43" si="7">P26/12</f>
        <v>583.33333333333337</v>
      </c>
      <c r="G26" s="3">
        <f t="shared" si="4"/>
        <v>-583.33333333333337</v>
      </c>
      <c r="J26" s="7">
        <f>'Oct 2013'!J26+C26</f>
        <v>808.06</v>
      </c>
      <c r="L26" s="7">
        <f>'Oct 2013'!L26+E26</f>
        <v>2916.666666666667</v>
      </c>
      <c r="N26" s="7">
        <f t="shared" si="5"/>
        <v>-2108.606666666667</v>
      </c>
      <c r="P26" s="3">
        <v>7000</v>
      </c>
    </row>
    <row r="27" spans="1:16" x14ac:dyDescent="0.25">
      <c r="A27" t="s">
        <v>19</v>
      </c>
      <c r="C27" s="3">
        <v>30.53</v>
      </c>
      <c r="E27" s="3">
        <f t="shared" si="7"/>
        <v>125</v>
      </c>
      <c r="G27" s="3">
        <f t="shared" si="4"/>
        <v>-94.47</v>
      </c>
      <c r="J27" s="7">
        <f>'Oct 2013'!J27+C27</f>
        <v>30.53</v>
      </c>
      <c r="L27" s="7">
        <f>'Oct 2013'!L27+E27</f>
        <v>625</v>
      </c>
      <c r="N27" s="7">
        <f t="shared" si="5"/>
        <v>-594.47</v>
      </c>
      <c r="P27" s="3">
        <v>1500</v>
      </c>
    </row>
    <row r="28" spans="1:16" x14ac:dyDescent="0.25">
      <c r="A28" t="s">
        <v>20</v>
      </c>
      <c r="C28" s="3">
        <v>0</v>
      </c>
      <c r="E28" s="3">
        <v>0</v>
      </c>
      <c r="G28" s="3">
        <f t="shared" si="4"/>
        <v>0</v>
      </c>
      <c r="J28" s="7">
        <f>'Oct 2013'!J28+C28</f>
        <v>0</v>
      </c>
      <c r="L28" s="7">
        <f>'Oct 2013'!L28+E28</f>
        <v>0</v>
      </c>
      <c r="N28" s="7">
        <f t="shared" si="5"/>
        <v>0</v>
      </c>
      <c r="P28" s="3">
        <v>5000</v>
      </c>
    </row>
    <row r="29" spans="1:16" x14ac:dyDescent="0.25">
      <c r="A29" t="s">
        <v>21</v>
      </c>
      <c r="C29" s="3">
        <v>0</v>
      </c>
      <c r="E29" s="3">
        <v>0</v>
      </c>
      <c r="G29" s="3">
        <f t="shared" si="4"/>
        <v>0</v>
      </c>
      <c r="J29" s="7">
        <f>'Oct 2013'!J29+C29</f>
        <v>0</v>
      </c>
      <c r="L29" s="7">
        <f>'Oct 2013'!L29+E29</f>
        <v>0</v>
      </c>
      <c r="N29" s="7">
        <f t="shared" si="5"/>
        <v>0</v>
      </c>
      <c r="P29" s="3">
        <v>2000</v>
      </c>
    </row>
    <row r="30" spans="1:16" x14ac:dyDescent="0.25">
      <c r="A30" t="s">
        <v>22</v>
      </c>
      <c r="C30" s="3">
        <v>9.1999999999999993</v>
      </c>
      <c r="E30" s="3">
        <f t="shared" si="7"/>
        <v>12.5</v>
      </c>
      <c r="G30" s="3">
        <f t="shared" si="4"/>
        <v>-3.3000000000000007</v>
      </c>
      <c r="J30" s="7">
        <f>'Oct 2013'!J30+C30</f>
        <v>30.62</v>
      </c>
      <c r="L30" s="7">
        <f>'Oct 2013'!L30+E30</f>
        <v>62.5</v>
      </c>
      <c r="N30" s="7">
        <f t="shared" si="5"/>
        <v>-31.88</v>
      </c>
      <c r="P30" s="3">
        <v>150</v>
      </c>
    </row>
    <row r="31" spans="1:16" x14ac:dyDescent="0.25">
      <c r="A31" t="s">
        <v>23</v>
      </c>
      <c r="C31" s="3">
        <v>282.29000000000002</v>
      </c>
      <c r="E31" s="3">
        <f>P31/4</f>
        <v>300</v>
      </c>
      <c r="G31" s="3">
        <f t="shared" si="4"/>
        <v>-17.70999999999998</v>
      </c>
      <c r="J31" s="7">
        <f>'Oct 2013'!J31+C31</f>
        <v>282.29000000000002</v>
      </c>
      <c r="L31" s="7">
        <f>'Oct 2013'!L31+E31</f>
        <v>300</v>
      </c>
      <c r="N31" s="7">
        <f t="shared" si="5"/>
        <v>-17.70999999999998</v>
      </c>
      <c r="P31" s="3">
        <v>1200</v>
      </c>
    </row>
    <row r="32" spans="1:16" x14ac:dyDescent="0.25">
      <c r="A32" t="s">
        <v>24</v>
      </c>
      <c r="C32" s="3">
        <v>0</v>
      </c>
      <c r="E32" s="3">
        <f t="shared" si="7"/>
        <v>125</v>
      </c>
      <c r="G32" s="3">
        <f t="shared" si="4"/>
        <v>-125</v>
      </c>
      <c r="J32" s="7">
        <f>'Oct 2013'!J32+C32</f>
        <v>150</v>
      </c>
      <c r="L32" s="7">
        <f>'Oct 2013'!L32+E32</f>
        <v>625</v>
      </c>
      <c r="N32" s="7">
        <f t="shared" si="5"/>
        <v>-475</v>
      </c>
      <c r="P32" s="3">
        <v>1500</v>
      </c>
    </row>
    <row r="33" spans="1:16" x14ac:dyDescent="0.25">
      <c r="A33" t="s">
        <v>25</v>
      </c>
      <c r="C33" s="3">
        <v>0</v>
      </c>
      <c r="E33" s="3">
        <v>0</v>
      </c>
      <c r="G33" s="3">
        <f t="shared" si="4"/>
        <v>0</v>
      </c>
      <c r="J33" s="7">
        <f>'Oct 2013'!J33+C33</f>
        <v>0</v>
      </c>
      <c r="L33" s="7">
        <f>'Oct 2013'!L33+E33</f>
        <v>0</v>
      </c>
      <c r="N33" s="7">
        <f t="shared" si="5"/>
        <v>0</v>
      </c>
      <c r="P33" s="3">
        <v>1900</v>
      </c>
    </row>
    <row r="34" spans="1:16" x14ac:dyDescent="0.25">
      <c r="A34" t="s">
        <v>26</v>
      </c>
      <c r="C34" s="3">
        <v>0</v>
      </c>
      <c r="E34" s="3">
        <f t="shared" si="7"/>
        <v>833.33333333333337</v>
      </c>
      <c r="G34" s="3">
        <f t="shared" si="4"/>
        <v>-833.33333333333337</v>
      </c>
      <c r="J34" s="7">
        <f>'Oct 2013'!J34+C34</f>
        <v>3408.47</v>
      </c>
      <c r="L34" s="7">
        <f>'Oct 2013'!L34+E34</f>
        <v>4166.666666666667</v>
      </c>
      <c r="N34" s="7">
        <f t="shared" si="5"/>
        <v>-758.19666666666717</v>
      </c>
      <c r="P34" s="3">
        <v>10000</v>
      </c>
    </row>
    <row r="35" spans="1:16" x14ac:dyDescent="0.25">
      <c r="A35" t="s">
        <v>63</v>
      </c>
      <c r="C35" s="3">
        <v>0</v>
      </c>
      <c r="E35" s="3">
        <v>0</v>
      </c>
      <c r="G35" s="3">
        <v>0</v>
      </c>
      <c r="J35" s="7">
        <v>0</v>
      </c>
      <c r="L35" s="7">
        <v>0</v>
      </c>
      <c r="N35" s="7">
        <v>0</v>
      </c>
      <c r="P35" s="3">
        <v>2850</v>
      </c>
    </row>
    <row r="36" spans="1:16" x14ac:dyDescent="0.25">
      <c r="A36" t="s">
        <v>27</v>
      </c>
      <c r="G36" s="3" t="s">
        <v>39</v>
      </c>
      <c r="J36" s="7" t="s">
        <v>39</v>
      </c>
      <c r="L36" s="7" t="s">
        <v>39</v>
      </c>
      <c r="N36" s="7" t="s">
        <v>39</v>
      </c>
    </row>
    <row r="37" spans="1:16" x14ac:dyDescent="0.25">
      <c r="A37" t="s">
        <v>28</v>
      </c>
      <c r="C37" s="3">
        <v>50</v>
      </c>
      <c r="E37" s="3">
        <f t="shared" si="7"/>
        <v>50</v>
      </c>
      <c r="G37" s="3">
        <f t="shared" si="4"/>
        <v>0</v>
      </c>
      <c r="J37" s="7">
        <f>'Oct 2013'!J37+C37</f>
        <v>300</v>
      </c>
      <c r="L37" s="7">
        <f>'Oct 2013'!L37+E37</f>
        <v>250</v>
      </c>
      <c r="N37" s="7">
        <f t="shared" si="5"/>
        <v>50</v>
      </c>
      <c r="P37" s="3">
        <v>600</v>
      </c>
    </row>
    <row r="38" spans="1:16" x14ac:dyDescent="0.25">
      <c r="A38" t="s">
        <v>37</v>
      </c>
      <c r="C38" s="3">
        <v>119</v>
      </c>
      <c r="E38" s="3">
        <v>0</v>
      </c>
      <c r="G38" s="3">
        <f t="shared" si="4"/>
        <v>119</v>
      </c>
      <c r="J38" s="7">
        <f>'Oct 2013'!J38+C38</f>
        <v>238</v>
      </c>
      <c r="L38" s="7">
        <f>'Oct 2013'!L38+E38</f>
        <v>212.5</v>
      </c>
      <c r="N38" s="7">
        <f t="shared" si="5"/>
        <v>25.5</v>
      </c>
      <c r="P38" s="3">
        <v>425</v>
      </c>
    </row>
    <row r="39" spans="1:16" x14ac:dyDescent="0.25">
      <c r="A39" t="s">
        <v>29</v>
      </c>
      <c r="C39" s="3">
        <v>0</v>
      </c>
      <c r="E39" s="3">
        <v>0</v>
      </c>
      <c r="G39" s="3">
        <f t="shared" si="4"/>
        <v>0</v>
      </c>
      <c r="J39" s="7">
        <f>'Oct 2013'!J39+C39</f>
        <v>101.8</v>
      </c>
      <c r="L39" s="7">
        <f>'Oct 2013'!L39+E39</f>
        <v>102</v>
      </c>
      <c r="N39" s="7">
        <f t="shared" si="5"/>
        <v>-0.20000000000000284</v>
      </c>
      <c r="P39" s="3">
        <v>102</v>
      </c>
    </row>
    <row r="40" spans="1:16" x14ac:dyDescent="0.25">
      <c r="A40" t="s">
        <v>30</v>
      </c>
      <c r="C40" s="3">
        <v>0</v>
      </c>
      <c r="E40" s="3">
        <v>0</v>
      </c>
      <c r="G40" s="3">
        <f t="shared" si="4"/>
        <v>0</v>
      </c>
      <c r="J40" s="7">
        <f>'Oct 2013'!J40+C40</f>
        <v>0</v>
      </c>
      <c r="L40" s="7">
        <f>'Oct 2013'!L40+E40</f>
        <v>0</v>
      </c>
      <c r="N40" s="7">
        <f t="shared" si="5"/>
        <v>0</v>
      </c>
      <c r="P40" s="3">
        <v>200</v>
      </c>
    </row>
    <row r="41" spans="1:16" x14ac:dyDescent="0.25">
      <c r="A41" t="s">
        <v>31</v>
      </c>
      <c r="C41" s="3">
        <v>0</v>
      </c>
      <c r="E41" s="3">
        <v>0</v>
      </c>
      <c r="G41" s="3">
        <f t="shared" si="4"/>
        <v>0</v>
      </c>
      <c r="J41" s="7">
        <f>'Oct 2013'!J41+C41</f>
        <v>0</v>
      </c>
      <c r="L41" s="7">
        <f>'Oct 2013'!L41+E41</f>
        <v>0</v>
      </c>
      <c r="N41" s="7">
        <f t="shared" si="5"/>
        <v>0</v>
      </c>
      <c r="P41" s="3">
        <v>250</v>
      </c>
    </row>
    <row r="42" spans="1:16" x14ac:dyDescent="0.25">
      <c r="A42" t="s">
        <v>46</v>
      </c>
      <c r="C42" s="3">
        <v>0</v>
      </c>
      <c r="E42" s="3">
        <f t="shared" si="7"/>
        <v>41.666666666666664</v>
      </c>
      <c r="G42" s="3">
        <f t="shared" si="4"/>
        <v>-41.666666666666664</v>
      </c>
      <c r="J42" s="7">
        <f>'Oct 2013'!J42+C42</f>
        <v>125</v>
      </c>
      <c r="L42" s="7">
        <f>'Oct 2013'!L42+E42</f>
        <v>166.66666666666666</v>
      </c>
      <c r="N42" s="7">
        <f t="shared" si="5"/>
        <v>-41.666666666666657</v>
      </c>
      <c r="P42" s="3">
        <v>500</v>
      </c>
    </row>
    <row r="43" spans="1:16" x14ac:dyDescent="0.25">
      <c r="A43" t="s">
        <v>32</v>
      </c>
      <c r="C43" s="3">
        <v>0</v>
      </c>
      <c r="E43" s="3">
        <f t="shared" si="7"/>
        <v>83.333333333333329</v>
      </c>
      <c r="G43" s="3">
        <f t="shared" si="4"/>
        <v>-83.333333333333329</v>
      </c>
      <c r="J43" s="7">
        <f>'Oct 2013'!J43+C43</f>
        <v>20.12</v>
      </c>
      <c r="L43" s="7">
        <f>'Oct 2013'!L43+E43</f>
        <v>333.33333333333331</v>
      </c>
      <c r="N43" s="7">
        <f t="shared" si="5"/>
        <v>-313.21333333333331</v>
      </c>
      <c r="P43" s="3">
        <v>1000</v>
      </c>
    </row>
    <row r="45" spans="1:16" x14ac:dyDescent="0.25">
      <c r="A45" s="1" t="s">
        <v>33</v>
      </c>
      <c r="C45" s="3">
        <f>SUM(C17:C43)</f>
        <v>3998.15</v>
      </c>
      <c r="E45" s="3">
        <f>SUM(E17:E43)</f>
        <v>5823.333333333333</v>
      </c>
      <c r="G45" s="4">
        <f>SUM(G17:G43)</f>
        <v>-1825.1833333333334</v>
      </c>
      <c r="J45" s="3">
        <f>SUM(J17:J43)</f>
        <v>29315.05</v>
      </c>
      <c r="L45" s="3">
        <f>SUM(L17:L43)</f>
        <v>34089.166666666664</v>
      </c>
      <c r="N45" s="4">
        <f>SUM(N17:N43)</f>
        <v>-4774.1166666666686</v>
      </c>
      <c r="P45" s="3">
        <f>SUM(P17:P43)</f>
        <v>93825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topLeftCell="A10" workbookViewId="0">
      <selection activeCell="P36" sqref="P36"/>
    </sheetView>
  </sheetViews>
  <sheetFormatPr defaultRowHeight="15" x14ac:dyDescent="0.25"/>
  <cols>
    <col min="2" max="2" width="16.85546875" customWidth="1"/>
    <col min="3" max="3" width="10" style="3" bestFit="1" customWidth="1"/>
    <col min="5" max="5" width="10.5703125" style="3" bestFit="1" customWidth="1"/>
    <col min="7" max="7" width="9.140625" style="3"/>
    <col min="16" max="16" width="11.5703125" style="3" bestFit="1" customWidth="1"/>
  </cols>
  <sheetData>
    <row r="2" spans="1:16" x14ac:dyDescent="0.25">
      <c r="D2" s="1" t="s">
        <v>57</v>
      </c>
      <c r="K2" s="1" t="s">
        <v>42</v>
      </c>
    </row>
    <row r="3" spans="1:16" x14ac:dyDescent="0.25">
      <c r="D3" s="1" t="s">
        <v>39</v>
      </c>
      <c r="J3" s="5" t="s">
        <v>40</v>
      </c>
      <c r="L3" s="5" t="s">
        <v>40</v>
      </c>
      <c r="N3" s="5" t="s">
        <v>40</v>
      </c>
      <c r="P3" s="6" t="s">
        <v>41</v>
      </c>
    </row>
    <row r="4" spans="1:16" x14ac:dyDescent="0.25">
      <c r="C4" s="4" t="s">
        <v>34</v>
      </c>
      <c r="E4" s="4" t="s">
        <v>35</v>
      </c>
      <c r="G4" s="4" t="s">
        <v>36</v>
      </c>
      <c r="J4" s="4" t="s">
        <v>34</v>
      </c>
      <c r="L4" s="4" t="s">
        <v>35</v>
      </c>
      <c r="N4" s="4" t="s">
        <v>36</v>
      </c>
    </row>
    <row r="5" spans="1:16" x14ac:dyDescent="0.25">
      <c r="A5" s="1" t="s">
        <v>58</v>
      </c>
    </row>
    <row r="6" spans="1:16" x14ac:dyDescent="0.25">
      <c r="A6" t="s">
        <v>1</v>
      </c>
      <c r="C6" s="3">
        <v>0</v>
      </c>
      <c r="E6" s="3">
        <v>0</v>
      </c>
      <c r="G6" s="3">
        <f>C6-E6</f>
        <v>0</v>
      </c>
      <c r="J6" s="7">
        <f>'Nov 2013'!J6+C6</f>
        <v>0</v>
      </c>
      <c r="L6">
        <v>0</v>
      </c>
      <c r="N6" s="7">
        <f>J6-L6</f>
        <v>0</v>
      </c>
      <c r="P6" s="3">
        <v>42000</v>
      </c>
    </row>
    <row r="7" spans="1:16" x14ac:dyDescent="0.25">
      <c r="A7" t="s">
        <v>2</v>
      </c>
      <c r="C7" s="3">
        <v>647.30999999999995</v>
      </c>
      <c r="E7" s="3">
        <f>P7/12</f>
        <v>650</v>
      </c>
      <c r="G7" s="3">
        <f t="shared" ref="G7:G10" si="0">C7-E7</f>
        <v>-2.6900000000000546</v>
      </c>
      <c r="J7" s="7">
        <f>'Nov 2013'!J7+C7</f>
        <v>3971.95</v>
      </c>
      <c r="L7" s="7">
        <f>'Nov 2013'!L7+E7</f>
        <v>3900</v>
      </c>
      <c r="N7" s="7">
        <f t="shared" ref="N7:N10" si="1">J7-L7</f>
        <v>71.949999999999818</v>
      </c>
      <c r="P7" s="3">
        <v>7800</v>
      </c>
    </row>
    <row r="8" spans="1:16" x14ac:dyDescent="0.25">
      <c r="A8" t="s">
        <v>3</v>
      </c>
      <c r="C8" s="3">
        <f>12.81+6.84</f>
        <v>19.649999999999999</v>
      </c>
      <c r="E8" s="3">
        <f t="shared" ref="E8:E10" si="2">P8/12</f>
        <v>20</v>
      </c>
      <c r="G8" s="3">
        <f t="shared" si="0"/>
        <v>-0.35000000000000142</v>
      </c>
      <c r="J8" s="7">
        <f>'Nov 2013'!J8+C8</f>
        <v>121.51999999999998</v>
      </c>
      <c r="L8" s="7">
        <f>'Nov 2013'!L8+E8</f>
        <v>120</v>
      </c>
      <c r="N8" s="7">
        <f t="shared" si="1"/>
        <v>1.5199999999999818</v>
      </c>
      <c r="P8" s="3">
        <v>240</v>
      </c>
    </row>
    <row r="9" spans="1:16" x14ac:dyDescent="0.25">
      <c r="A9" t="s">
        <v>4</v>
      </c>
      <c r="C9" s="3">
        <v>0</v>
      </c>
      <c r="E9" s="3">
        <v>0</v>
      </c>
      <c r="G9" s="3">
        <f t="shared" si="0"/>
        <v>0</v>
      </c>
      <c r="J9" s="7">
        <f>'Nov 2013'!J9+C9</f>
        <v>13436.77</v>
      </c>
      <c r="L9" s="7">
        <f>'Nov 2013'!L9+E9</f>
        <v>12750</v>
      </c>
      <c r="N9" s="7">
        <f t="shared" si="1"/>
        <v>686.77000000000044</v>
      </c>
      <c r="P9" s="3">
        <v>25500</v>
      </c>
    </row>
    <row r="10" spans="1:16" x14ac:dyDescent="0.25">
      <c r="A10" t="s">
        <v>5</v>
      </c>
      <c r="C10" s="3">
        <v>271.56</v>
      </c>
      <c r="E10" s="3">
        <f t="shared" si="2"/>
        <v>272</v>
      </c>
      <c r="G10" s="3">
        <f t="shared" si="0"/>
        <v>-0.43999999999999773</v>
      </c>
      <c r="J10" s="7">
        <f>'Nov 2013'!J10+C10</f>
        <v>1629.2999999999997</v>
      </c>
      <c r="L10" s="7">
        <f>'Nov 2013'!L10+E10</f>
        <v>1632</v>
      </c>
      <c r="N10" s="7">
        <f t="shared" si="1"/>
        <v>-2.7000000000002728</v>
      </c>
      <c r="P10" s="3">
        <v>3264</v>
      </c>
    </row>
    <row r="12" spans="1:16" x14ac:dyDescent="0.25">
      <c r="A12" s="1" t="s">
        <v>6</v>
      </c>
      <c r="C12" s="3">
        <f>SUM(C6:C10)</f>
        <v>938.52</v>
      </c>
      <c r="E12" s="3">
        <f>SUM(E6:E10)</f>
        <v>942</v>
      </c>
      <c r="G12" s="3">
        <f>SUM(G6:G10)</f>
        <v>-3.4800000000000537</v>
      </c>
      <c r="J12" s="3">
        <f>SUM(J6:J10)</f>
        <v>19159.54</v>
      </c>
      <c r="L12" s="3">
        <f>SUM(L6:L10)</f>
        <v>18402</v>
      </c>
      <c r="N12" s="3">
        <f>SUM(N6:N10)</f>
        <v>757.54</v>
      </c>
      <c r="P12" s="3">
        <f>SUM(P6:P10)</f>
        <v>78804</v>
      </c>
    </row>
    <row r="15" spans="1:16" x14ac:dyDescent="0.25">
      <c r="A15" s="1" t="s">
        <v>59</v>
      </c>
    </row>
    <row r="16" spans="1:16" x14ac:dyDescent="0.25">
      <c r="A16" t="s">
        <v>8</v>
      </c>
    </row>
    <row r="17" spans="1:16" x14ac:dyDescent="0.25">
      <c r="A17" t="s">
        <v>9</v>
      </c>
      <c r="C17" s="3">
        <v>300</v>
      </c>
      <c r="E17" s="3">
        <f t="shared" ref="E17" si="3">P17/12</f>
        <v>300</v>
      </c>
      <c r="G17" s="3">
        <f t="shared" ref="G17:G43" si="4">C17-E17</f>
        <v>0</v>
      </c>
      <c r="J17" s="7">
        <f>'Nov 2013'!J17+C17</f>
        <v>2100</v>
      </c>
      <c r="L17" s="7">
        <f>'Nov 2013'!L17+E17</f>
        <v>1800</v>
      </c>
      <c r="N17" s="7">
        <f t="shared" ref="N17:N43" si="5">J17-L17</f>
        <v>300</v>
      </c>
      <c r="P17" s="3">
        <v>3600</v>
      </c>
    </row>
    <row r="18" spans="1:16" x14ac:dyDescent="0.25">
      <c r="A18" t="s">
        <v>10</v>
      </c>
      <c r="C18" s="3">
        <v>1500</v>
      </c>
      <c r="E18" s="3">
        <f>P18/4</f>
        <v>1500</v>
      </c>
      <c r="G18" s="3">
        <f t="shared" si="4"/>
        <v>0</v>
      </c>
      <c r="J18" s="7">
        <f>'Nov 2013'!J18+C18</f>
        <v>3000</v>
      </c>
      <c r="L18" s="7">
        <f>'Nov 2013'!L18+E18</f>
        <v>3000</v>
      </c>
      <c r="N18" s="7">
        <f t="shared" si="5"/>
        <v>0</v>
      </c>
      <c r="P18" s="3">
        <v>6000</v>
      </c>
    </row>
    <row r="19" spans="1:16" x14ac:dyDescent="0.25">
      <c r="A19" t="s">
        <v>11</v>
      </c>
      <c r="C19" s="3">
        <f>4*225</f>
        <v>900</v>
      </c>
      <c r="E19" s="3">
        <v>900</v>
      </c>
      <c r="G19" s="3">
        <f t="shared" si="4"/>
        <v>0</v>
      </c>
      <c r="J19" s="7">
        <f>'Nov 2013'!J19+C19</f>
        <v>1200</v>
      </c>
      <c r="L19" s="7">
        <f>'Nov 2013'!L19+E19</f>
        <v>1200</v>
      </c>
      <c r="N19" s="7">
        <f t="shared" si="5"/>
        <v>0</v>
      </c>
      <c r="P19" s="3">
        <v>3000</v>
      </c>
    </row>
    <row r="20" spans="1:16" x14ac:dyDescent="0.25">
      <c r="A20" t="s">
        <v>12</v>
      </c>
      <c r="C20" s="3">
        <v>0</v>
      </c>
      <c r="E20" s="3">
        <f>P20/12</f>
        <v>166.66666666666666</v>
      </c>
      <c r="G20" s="3">
        <f t="shared" si="4"/>
        <v>-166.66666666666666</v>
      </c>
      <c r="J20" s="7">
        <f>'Nov 2013'!J20+C20</f>
        <v>0</v>
      </c>
      <c r="L20" s="7">
        <f>'Nov 2013'!L20+E20</f>
        <v>999.99999999999989</v>
      </c>
      <c r="N20" s="7">
        <f t="shared" si="5"/>
        <v>-999.99999999999989</v>
      </c>
      <c r="P20" s="3">
        <v>2000</v>
      </c>
    </row>
    <row r="21" spans="1:16" x14ac:dyDescent="0.25">
      <c r="A21" t="s">
        <v>13</v>
      </c>
      <c r="C21" s="3">
        <v>441</v>
      </c>
      <c r="E21" s="3">
        <f t="shared" ref="E21:E22" si="6">P21/12</f>
        <v>435</v>
      </c>
      <c r="G21" s="3">
        <f t="shared" si="4"/>
        <v>6</v>
      </c>
      <c r="J21" s="7">
        <f>'Nov 2013'!J21+C21</f>
        <v>2640.66</v>
      </c>
      <c r="L21" s="7">
        <f>'Nov 2013'!L21+E21</f>
        <v>2610</v>
      </c>
      <c r="N21" s="7">
        <f t="shared" si="5"/>
        <v>30.659999999999854</v>
      </c>
      <c r="P21" s="3">
        <v>5220</v>
      </c>
    </row>
    <row r="22" spans="1:16" x14ac:dyDescent="0.25">
      <c r="A22" t="s">
        <v>14</v>
      </c>
      <c r="C22" s="3">
        <v>2767.5</v>
      </c>
      <c r="E22" s="3">
        <f t="shared" si="6"/>
        <v>2767.5</v>
      </c>
      <c r="G22" s="3">
        <f t="shared" si="4"/>
        <v>0</v>
      </c>
      <c r="J22" s="7">
        <f>'Nov 2013'!J22+C22</f>
        <v>16605</v>
      </c>
      <c r="L22" s="7">
        <f>'Nov 2013'!L22+E22</f>
        <v>16605</v>
      </c>
      <c r="N22" s="7">
        <f t="shared" si="5"/>
        <v>0</v>
      </c>
      <c r="P22" s="3">
        <v>33210</v>
      </c>
    </row>
    <row r="23" spans="1:16" x14ac:dyDescent="0.25">
      <c r="A23" t="s">
        <v>15</v>
      </c>
      <c r="C23" s="3">
        <v>0</v>
      </c>
      <c r="E23" s="3">
        <v>0</v>
      </c>
      <c r="G23" s="3">
        <f t="shared" si="4"/>
        <v>0</v>
      </c>
      <c r="J23" s="7">
        <f>'Nov 2013'!J23+C23</f>
        <v>3652</v>
      </c>
      <c r="L23" s="7">
        <f>'Nov 2013'!L23+E23</f>
        <v>3652</v>
      </c>
      <c r="N23" s="7">
        <f t="shared" si="5"/>
        <v>0</v>
      </c>
      <c r="P23" s="3">
        <v>3652</v>
      </c>
    </row>
    <row r="24" spans="1:16" x14ac:dyDescent="0.25">
      <c r="A24" t="s">
        <v>16</v>
      </c>
      <c r="C24" s="3">
        <v>0</v>
      </c>
      <c r="E24" s="3">
        <v>0</v>
      </c>
      <c r="G24" s="3">
        <f t="shared" si="4"/>
        <v>0</v>
      </c>
      <c r="J24" s="7">
        <f>'Nov 2013'!J24+C24</f>
        <v>531</v>
      </c>
      <c r="L24" s="7">
        <f>'Nov 2013'!L24+E24</f>
        <v>531</v>
      </c>
      <c r="N24" s="7">
        <f t="shared" si="5"/>
        <v>0</v>
      </c>
      <c r="P24" s="3">
        <v>531</v>
      </c>
    </row>
    <row r="25" spans="1:16" x14ac:dyDescent="0.25">
      <c r="A25" t="s">
        <v>17</v>
      </c>
      <c r="C25" s="3">
        <v>0</v>
      </c>
      <c r="E25" s="3">
        <v>0</v>
      </c>
      <c r="G25" s="3">
        <f t="shared" si="4"/>
        <v>0</v>
      </c>
      <c r="J25" s="7">
        <f>'Nov 2013'!J25+C25</f>
        <v>0</v>
      </c>
      <c r="L25" s="7">
        <f>'Nov 2013'!L25+E25</f>
        <v>0</v>
      </c>
      <c r="N25" s="7">
        <f t="shared" si="5"/>
        <v>0</v>
      </c>
      <c r="P25" s="3">
        <v>435</v>
      </c>
    </row>
    <row r="26" spans="1:16" x14ac:dyDescent="0.25">
      <c r="A26" t="s">
        <v>18</v>
      </c>
      <c r="C26" s="3">
        <v>0</v>
      </c>
      <c r="E26" s="3">
        <f t="shared" ref="E26:E43" si="7">P26/12</f>
        <v>583.33333333333337</v>
      </c>
      <c r="G26" s="3">
        <f t="shared" si="4"/>
        <v>-583.33333333333337</v>
      </c>
      <c r="J26" s="7">
        <f>'Nov 2013'!J26+C26</f>
        <v>808.06</v>
      </c>
      <c r="L26" s="7">
        <f>'Nov 2013'!L26+E26</f>
        <v>3500.0000000000005</v>
      </c>
      <c r="N26" s="7">
        <f t="shared" si="5"/>
        <v>-2691.9400000000005</v>
      </c>
      <c r="P26" s="3">
        <v>7000</v>
      </c>
    </row>
    <row r="27" spans="1:16" x14ac:dyDescent="0.25">
      <c r="A27" t="s">
        <v>19</v>
      </c>
      <c r="C27" s="3">
        <v>0</v>
      </c>
      <c r="E27" s="3">
        <f t="shared" si="7"/>
        <v>125</v>
      </c>
      <c r="G27" s="3">
        <f t="shared" si="4"/>
        <v>-125</v>
      </c>
      <c r="J27" s="7">
        <f>'Nov 2013'!J27+C27</f>
        <v>30.53</v>
      </c>
      <c r="L27" s="7">
        <f>'Nov 2013'!L27+E27</f>
        <v>750</v>
      </c>
      <c r="N27" s="7">
        <f t="shared" si="5"/>
        <v>-719.47</v>
      </c>
      <c r="P27" s="3">
        <v>1500</v>
      </c>
    </row>
    <row r="28" spans="1:16" x14ac:dyDescent="0.25">
      <c r="A28" t="s">
        <v>20</v>
      </c>
      <c r="C28" s="3">
        <v>110</v>
      </c>
      <c r="E28" s="3">
        <v>1250</v>
      </c>
      <c r="G28" s="3">
        <f t="shared" si="4"/>
        <v>-1140</v>
      </c>
      <c r="J28" s="7">
        <f>'Nov 2013'!J28+C28</f>
        <v>110</v>
      </c>
      <c r="L28" s="7">
        <f>'Nov 2013'!L28+E28</f>
        <v>1250</v>
      </c>
      <c r="N28" s="7">
        <f t="shared" si="5"/>
        <v>-1140</v>
      </c>
      <c r="P28" s="3">
        <v>5000</v>
      </c>
    </row>
    <row r="29" spans="1:16" x14ac:dyDescent="0.25">
      <c r="A29" t="s">
        <v>21</v>
      </c>
      <c r="C29" s="3">
        <v>0</v>
      </c>
      <c r="E29" s="3">
        <v>0</v>
      </c>
      <c r="G29" s="3">
        <f t="shared" si="4"/>
        <v>0</v>
      </c>
      <c r="J29" s="7">
        <f>'Nov 2013'!J29+C29</f>
        <v>0</v>
      </c>
      <c r="L29" s="7">
        <f>'Nov 2013'!L29+E29</f>
        <v>0</v>
      </c>
      <c r="N29" s="7">
        <f t="shared" si="5"/>
        <v>0</v>
      </c>
      <c r="P29" s="3">
        <v>2000</v>
      </c>
    </row>
    <row r="30" spans="1:16" x14ac:dyDescent="0.25">
      <c r="A30" t="s">
        <v>22</v>
      </c>
      <c r="C30" s="3">
        <v>0</v>
      </c>
      <c r="E30" s="3">
        <f t="shared" si="7"/>
        <v>12.5</v>
      </c>
      <c r="G30" s="3">
        <f t="shared" si="4"/>
        <v>-12.5</v>
      </c>
      <c r="J30" s="7">
        <f>'Nov 2013'!J30+C30</f>
        <v>30.62</v>
      </c>
      <c r="L30" s="7">
        <f>'Nov 2013'!L30+E30</f>
        <v>75</v>
      </c>
      <c r="N30" s="7">
        <f t="shared" si="5"/>
        <v>-44.379999999999995</v>
      </c>
      <c r="P30" s="3">
        <v>150</v>
      </c>
    </row>
    <row r="31" spans="1:16" x14ac:dyDescent="0.25">
      <c r="A31" t="s">
        <v>23</v>
      </c>
      <c r="C31" s="3">
        <v>0</v>
      </c>
      <c r="E31" s="3">
        <v>0</v>
      </c>
      <c r="G31" s="3">
        <f t="shared" si="4"/>
        <v>0</v>
      </c>
      <c r="J31" s="7">
        <f>'Nov 2013'!J31+C31</f>
        <v>282.29000000000002</v>
      </c>
      <c r="L31" s="7">
        <f>'Nov 2013'!L31+E31</f>
        <v>300</v>
      </c>
      <c r="N31" s="7">
        <f t="shared" si="5"/>
        <v>-17.70999999999998</v>
      </c>
      <c r="P31" s="3">
        <v>1200</v>
      </c>
    </row>
    <row r="32" spans="1:16" x14ac:dyDescent="0.25">
      <c r="A32" t="s">
        <v>24</v>
      </c>
      <c r="C32" s="3">
        <v>300</v>
      </c>
      <c r="E32" s="3">
        <f t="shared" si="7"/>
        <v>125</v>
      </c>
      <c r="G32" s="3">
        <f t="shared" si="4"/>
        <v>175</v>
      </c>
      <c r="J32" s="7">
        <f>'Nov 2013'!J32+C32</f>
        <v>450</v>
      </c>
      <c r="L32" s="7">
        <f>'Nov 2013'!L32+E32</f>
        <v>750</v>
      </c>
      <c r="N32" s="7">
        <f t="shared" si="5"/>
        <v>-300</v>
      </c>
      <c r="P32" s="3">
        <v>1500</v>
      </c>
    </row>
    <row r="33" spans="1:16" x14ac:dyDescent="0.25">
      <c r="A33" t="s">
        <v>25</v>
      </c>
      <c r="C33" s="3">
        <v>0</v>
      </c>
      <c r="E33" s="3">
        <v>0</v>
      </c>
      <c r="G33" s="3">
        <f t="shared" si="4"/>
        <v>0</v>
      </c>
      <c r="J33" s="7">
        <f>'Nov 2013'!J33+C33</f>
        <v>0</v>
      </c>
      <c r="L33" s="7">
        <f>'Nov 2013'!L33+E33</f>
        <v>0</v>
      </c>
      <c r="N33" s="7">
        <f t="shared" si="5"/>
        <v>0</v>
      </c>
      <c r="P33" s="3">
        <v>1900</v>
      </c>
    </row>
    <row r="34" spans="1:16" x14ac:dyDescent="0.25">
      <c r="A34" t="s">
        <v>26</v>
      </c>
      <c r="C34" s="3">
        <v>2600</v>
      </c>
      <c r="E34" s="3">
        <f t="shared" si="7"/>
        <v>833.33333333333337</v>
      </c>
      <c r="G34" s="3">
        <f t="shared" si="4"/>
        <v>1766.6666666666665</v>
      </c>
      <c r="J34" s="7">
        <f>'Nov 2013'!J34+C34</f>
        <v>6008.4699999999993</v>
      </c>
      <c r="L34" s="7">
        <f>'Nov 2013'!L34+E34</f>
        <v>5000</v>
      </c>
      <c r="N34" s="7">
        <f t="shared" si="5"/>
        <v>1008.4699999999993</v>
      </c>
      <c r="P34" s="3">
        <v>10000</v>
      </c>
    </row>
    <row r="35" spans="1:16" x14ac:dyDescent="0.25">
      <c r="A35" t="s">
        <v>63</v>
      </c>
      <c r="C35" s="3">
        <v>0</v>
      </c>
      <c r="E35" s="3">
        <v>0</v>
      </c>
      <c r="G35" s="3">
        <v>0</v>
      </c>
      <c r="J35" s="7">
        <v>0</v>
      </c>
      <c r="L35" s="7">
        <v>0</v>
      </c>
      <c r="N35" s="7">
        <v>0</v>
      </c>
      <c r="P35" s="3">
        <v>2850</v>
      </c>
    </row>
    <row r="36" spans="1:16" x14ac:dyDescent="0.25">
      <c r="A36" t="s">
        <v>27</v>
      </c>
      <c r="G36" s="3" t="s">
        <v>39</v>
      </c>
      <c r="J36" s="7" t="s">
        <v>39</v>
      </c>
      <c r="L36" s="7" t="s">
        <v>39</v>
      </c>
      <c r="N36" s="7" t="s">
        <v>39</v>
      </c>
    </row>
    <row r="37" spans="1:16" x14ac:dyDescent="0.25">
      <c r="A37" t="s">
        <v>28</v>
      </c>
      <c r="C37" s="3">
        <v>50</v>
      </c>
      <c r="E37" s="3">
        <f t="shared" si="7"/>
        <v>50</v>
      </c>
      <c r="G37" s="3">
        <f t="shared" si="4"/>
        <v>0</v>
      </c>
      <c r="J37" s="7">
        <f>'Nov 2013'!J37+C37</f>
        <v>350</v>
      </c>
      <c r="L37" s="7">
        <f>'Nov 2013'!L37+E37</f>
        <v>300</v>
      </c>
      <c r="N37" s="7">
        <f t="shared" si="5"/>
        <v>50</v>
      </c>
      <c r="P37" s="3">
        <v>600</v>
      </c>
    </row>
    <row r="38" spans="1:16" x14ac:dyDescent="0.25">
      <c r="A38" t="s">
        <v>37</v>
      </c>
      <c r="C38" s="3">
        <v>0</v>
      </c>
      <c r="E38" s="3">
        <v>0</v>
      </c>
      <c r="G38" s="3">
        <f t="shared" si="4"/>
        <v>0</v>
      </c>
      <c r="J38" s="7">
        <f>'Nov 2013'!J38+C38</f>
        <v>238</v>
      </c>
      <c r="L38" s="7">
        <f>'Nov 2013'!L38+E38</f>
        <v>212.5</v>
      </c>
      <c r="N38" s="7">
        <f t="shared" si="5"/>
        <v>25.5</v>
      </c>
      <c r="P38" s="3">
        <v>425</v>
      </c>
    </row>
    <row r="39" spans="1:16" x14ac:dyDescent="0.25">
      <c r="A39" t="s">
        <v>29</v>
      </c>
      <c r="C39" s="3">
        <v>0</v>
      </c>
      <c r="E39" s="3">
        <v>0</v>
      </c>
      <c r="G39" s="3">
        <f t="shared" si="4"/>
        <v>0</v>
      </c>
      <c r="J39" s="7">
        <f>'Nov 2013'!J39+C39</f>
        <v>101.8</v>
      </c>
      <c r="L39" s="7">
        <f>'Nov 2013'!L39+E39</f>
        <v>102</v>
      </c>
      <c r="N39" s="7">
        <f t="shared" si="5"/>
        <v>-0.20000000000000284</v>
      </c>
      <c r="P39" s="3">
        <v>102</v>
      </c>
    </row>
    <row r="40" spans="1:16" x14ac:dyDescent="0.25">
      <c r="A40" t="s">
        <v>30</v>
      </c>
      <c r="C40" s="3">
        <v>0</v>
      </c>
      <c r="E40" s="3">
        <v>0</v>
      </c>
      <c r="G40" s="3">
        <f t="shared" si="4"/>
        <v>0</v>
      </c>
      <c r="J40" s="7">
        <f>'Nov 2013'!J40+C40</f>
        <v>0</v>
      </c>
      <c r="L40" s="7">
        <f>'Nov 2013'!L40+E40</f>
        <v>0</v>
      </c>
      <c r="N40" s="7">
        <f t="shared" si="5"/>
        <v>0</v>
      </c>
      <c r="P40" s="3">
        <v>200</v>
      </c>
    </row>
    <row r="41" spans="1:16" x14ac:dyDescent="0.25">
      <c r="A41" t="s">
        <v>31</v>
      </c>
      <c r="C41" s="3">
        <v>0</v>
      </c>
      <c r="E41" s="3">
        <v>0</v>
      </c>
      <c r="G41" s="3">
        <f t="shared" si="4"/>
        <v>0</v>
      </c>
      <c r="J41" s="7">
        <f>'Nov 2013'!J41+C41</f>
        <v>0</v>
      </c>
      <c r="L41" s="7">
        <f>'Nov 2013'!L41+E41</f>
        <v>0</v>
      </c>
      <c r="N41" s="7">
        <f t="shared" si="5"/>
        <v>0</v>
      </c>
      <c r="P41" s="3">
        <v>250</v>
      </c>
    </row>
    <row r="42" spans="1:16" x14ac:dyDescent="0.25">
      <c r="A42" t="s">
        <v>46</v>
      </c>
      <c r="C42" s="3">
        <v>0</v>
      </c>
      <c r="E42" s="3">
        <f t="shared" si="7"/>
        <v>41.666666666666664</v>
      </c>
      <c r="G42" s="3">
        <f t="shared" si="4"/>
        <v>-41.666666666666664</v>
      </c>
      <c r="J42" s="7">
        <f>'Nov 2013'!J42+C42</f>
        <v>125</v>
      </c>
      <c r="L42" s="7">
        <f>'Nov 2013'!L42+E42</f>
        <v>208.33333333333331</v>
      </c>
      <c r="N42" s="7">
        <f t="shared" si="5"/>
        <v>-83.333333333333314</v>
      </c>
      <c r="P42" s="3">
        <v>500</v>
      </c>
    </row>
    <row r="43" spans="1:16" x14ac:dyDescent="0.25">
      <c r="A43" t="s">
        <v>32</v>
      </c>
      <c r="C43" s="3">
        <f>39.5+303.96</f>
        <v>343.46</v>
      </c>
      <c r="E43" s="3">
        <f t="shared" si="7"/>
        <v>83.333333333333329</v>
      </c>
      <c r="G43" s="3">
        <f t="shared" si="4"/>
        <v>260.12666666666667</v>
      </c>
      <c r="J43" s="7">
        <f>'Nov 2013'!J43+C43</f>
        <v>363.58</v>
      </c>
      <c r="L43" s="7">
        <f>'Nov 2013'!L43+E43</f>
        <v>416.66666666666663</v>
      </c>
      <c r="N43" s="7">
        <f t="shared" si="5"/>
        <v>-53.086666666666645</v>
      </c>
      <c r="P43" s="3">
        <v>1000</v>
      </c>
    </row>
    <row r="45" spans="1:16" x14ac:dyDescent="0.25">
      <c r="A45" s="1" t="s">
        <v>33</v>
      </c>
      <c r="C45" s="3">
        <f>SUM(C17:C43)</f>
        <v>9311.9599999999991</v>
      </c>
      <c r="E45" s="3">
        <f>SUM(E17:E43)</f>
        <v>9173.3333333333321</v>
      </c>
      <c r="G45" s="4">
        <f>SUM(G17:G43)</f>
        <v>138.62666666666652</v>
      </c>
      <c r="J45" s="3">
        <f>SUM(J17:J43)</f>
        <v>38627.01</v>
      </c>
      <c r="L45" s="3">
        <f>SUM(L17:L43)</f>
        <v>43262.5</v>
      </c>
      <c r="N45" s="4">
        <f>SUM(N17:N43)</f>
        <v>-4635.4900000000016</v>
      </c>
      <c r="P45" s="3">
        <f>SUM(P17:P43)</f>
        <v>93825</v>
      </c>
    </row>
  </sheetData>
  <pageMargins left="0" right="0" top="0" bottom="0" header="0.3" footer="0.3"/>
  <pageSetup scale="8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topLeftCell="A10" workbookViewId="0"/>
  </sheetViews>
  <sheetFormatPr defaultRowHeight="15" x14ac:dyDescent="0.25"/>
  <cols>
    <col min="2" max="2" width="16.85546875" customWidth="1"/>
    <col min="3" max="3" width="10" style="3" bestFit="1" customWidth="1"/>
    <col min="5" max="5" width="10.5703125" style="3" bestFit="1" customWidth="1"/>
    <col min="7" max="7" width="9.140625" style="3"/>
    <col min="16" max="16" width="11.5703125" style="3" bestFit="1" customWidth="1"/>
  </cols>
  <sheetData>
    <row r="2" spans="1:16" x14ac:dyDescent="0.25">
      <c r="D2" s="1" t="s">
        <v>60</v>
      </c>
      <c r="K2" s="1" t="s">
        <v>42</v>
      </c>
    </row>
    <row r="3" spans="1:16" x14ac:dyDescent="0.25">
      <c r="D3" s="1" t="s">
        <v>39</v>
      </c>
      <c r="J3" s="5" t="s">
        <v>40</v>
      </c>
      <c r="L3" s="5" t="s">
        <v>40</v>
      </c>
      <c r="N3" s="5" t="s">
        <v>40</v>
      </c>
      <c r="P3" s="6" t="s">
        <v>41</v>
      </c>
    </row>
    <row r="4" spans="1:16" x14ac:dyDescent="0.25">
      <c r="C4" s="4" t="s">
        <v>34</v>
      </c>
      <c r="E4" s="4" t="s">
        <v>35</v>
      </c>
      <c r="G4" s="4" t="s">
        <v>36</v>
      </c>
      <c r="J4" s="4" t="s">
        <v>34</v>
      </c>
      <c r="L4" s="4" t="s">
        <v>35</v>
      </c>
      <c r="N4" s="4" t="s">
        <v>36</v>
      </c>
    </row>
    <row r="5" spans="1:16" x14ac:dyDescent="0.25">
      <c r="A5" s="1" t="s">
        <v>61</v>
      </c>
    </row>
    <row r="6" spans="1:16" x14ac:dyDescent="0.25">
      <c r="A6" t="s">
        <v>1</v>
      </c>
      <c r="C6" s="3">
        <f>4037.09+1134.01+2472.07</f>
        <v>7643.17</v>
      </c>
      <c r="E6" s="3">
        <v>7600</v>
      </c>
      <c r="G6" s="3">
        <f>C6-E6</f>
        <v>43.170000000000073</v>
      </c>
      <c r="J6" s="7">
        <f>'Dec 2013'!J6+C6</f>
        <v>7643.17</v>
      </c>
      <c r="L6" s="7">
        <f>E6</f>
        <v>7600</v>
      </c>
      <c r="N6" s="7">
        <f>J6-L6</f>
        <v>43.170000000000073</v>
      </c>
      <c r="P6" s="3">
        <v>42000</v>
      </c>
    </row>
    <row r="7" spans="1:16" x14ac:dyDescent="0.25">
      <c r="A7" t="s">
        <v>2</v>
      </c>
      <c r="C7" s="3">
        <v>673.23</v>
      </c>
      <c r="E7" s="3">
        <f>P7/12</f>
        <v>650</v>
      </c>
      <c r="G7" s="3">
        <f t="shared" ref="G7:G10" si="0">C7-E7</f>
        <v>23.230000000000018</v>
      </c>
      <c r="J7" s="7">
        <f>'Dec 2013'!J7+C7</f>
        <v>4645.18</v>
      </c>
      <c r="L7" s="7">
        <f>'Dec 2013'!L7+E7</f>
        <v>4550</v>
      </c>
      <c r="N7" s="7">
        <f t="shared" ref="N7:N10" si="1">J7-L7</f>
        <v>95.180000000000291</v>
      </c>
      <c r="P7" s="3">
        <v>7800</v>
      </c>
    </row>
    <row r="8" spans="1:16" x14ac:dyDescent="0.25">
      <c r="A8" t="s">
        <v>3</v>
      </c>
      <c r="C8" s="3">
        <f>12.57+6.92</f>
        <v>19.490000000000002</v>
      </c>
      <c r="E8" s="3">
        <f t="shared" ref="E8:E10" si="2">P8/12</f>
        <v>20</v>
      </c>
      <c r="G8" s="3">
        <f t="shared" si="0"/>
        <v>-0.50999999999999801</v>
      </c>
      <c r="J8" s="7">
        <f>'Dec 2013'!J8+C8</f>
        <v>141.01</v>
      </c>
      <c r="L8" s="7">
        <f>'Dec 2013'!L8+E8</f>
        <v>140</v>
      </c>
      <c r="N8" s="7">
        <f t="shared" si="1"/>
        <v>1.0099999999999909</v>
      </c>
      <c r="P8" s="3">
        <v>240</v>
      </c>
    </row>
    <row r="9" spans="1:16" x14ac:dyDescent="0.25">
      <c r="A9" t="s">
        <v>4</v>
      </c>
      <c r="C9" s="3">
        <f>1543.84+586+1026.84</f>
        <v>3156.6800000000003</v>
      </c>
      <c r="E9" s="3">
        <f>P9/4</f>
        <v>6375</v>
      </c>
      <c r="G9" s="3">
        <f t="shared" si="0"/>
        <v>-3218.3199999999997</v>
      </c>
      <c r="J9" s="7">
        <f>'Dec 2013'!J9+C9</f>
        <v>16593.45</v>
      </c>
      <c r="L9" s="7">
        <f>'Dec 2013'!L9+E9</f>
        <v>19125</v>
      </c>
      <c r="N9" s="7">
        <f t="shared" si="1"/>
        <v>-2531.5499999999993</v>
      </c>
      <c r="P9" s="3">
        <v>25500</v>
      </c>
    </row>
    <row r="10" spans="1:16" x14ac:dyDescent="0.25">
      <c r="A10" t="s">
        <v>5</v>
      </c>
      <c r="C10" s="3">
        <v>271.56</v>
      </c>
      <c r="E10" s="3">
        <f t="shared" si="2"/>
        <v>272</v>
      </c>
      <c r="G10" s="3">
        <f t="shared" si="0"/>
        <v>-0.43999999999999773</v>
      </c>
      <c r="J10" s="7">
        <f>'Dec 2013'!J10+C10</f>
        <v>1900.8599999999997</v>
      </c>
      <c r="L10" s="7">
        <f>'Dec 2013'!L10+E10</f>
        <v>1904</v>
      </c>
      <c r="N10" s="7">
        <f t="shared" si="1"/>
        <v>-3.1400000000003274</v>
      </c>
      <c r="P10" s="3">
        <v>3264</v>
      </c>
    </row>
    <row r="12" spans="1:16" x14ac:dyDescent="0.25">
      <c r="A12" s="1" t="s">
        <v>6</v>
      </c>
      <c r="C12" s="3">
        <f>SUM(C6:C10)</f>
        <v>11764.13</v>
      </c>
      <c r="E12" s="3">
        <f>SUM(E6:E10)</f>
        <v>14917</v>
      </c>
      <c r="G12" s="3">
        <f>SUM(G6:G10)</f>
        <v>-3152.8699999999994</v>
      </c>
      <c r="J12" s="3">
        <f>SUM(J6:J10)</f>
        <v>30923.670000000002</v>
      </c>
      <c r="L12" s="3">
        <f>SUM(L6:L10)</f>
        <v>33319</v>
      </c>
      <c r="N12" s="3">
        <f>SUM(N6:N10)</f>
        <v>-2395.329999999999</v>
      </c>
      <c r="P12" s="3">
        <f>SUM(P6:P10)</f>
        <v>78804</v>
      </c>
    </row>
    <row r="15" spans="1:16" x14ac:dyDescent="0.25">
      <c r="A15" s="1" t="s">
        <v>62</v>
      </c>
    </row>
    <row r="16" spans="1:16" x14ac:dyDescent="0.25">
      <c r="A16" t="s">
        <v>8</v>
      </c>
    </row>
    <row r="17" spans="1:16" x14ac:dyDescent="0.25">
      <c r="A17" t="s">
        <v>9</v>
      </c>
      <c r="C17" s="3">
        <v>300</v>
      </c>
      <c r="E17" s="3">
        <f t="shared" ref="E17" si="3">P17/12</f>
        <v>300</v>
      </c>
      <c r="G17" s="3">
        <f t="shared" ref="G17:G43" si="4">C17-E17</f>
        <v>0</v>
      </c>
      <c r="J17" s="7">
        <f>'Dec 2013'!J17+C17</f>
        <v>2400</v>
      </c>
      <c r="L17" s="7">
        <f>'Dec 2013'!L17+E17</f>
        <v>2100</v>
      </c>
      <c r="N17" s="7">
        <f t="shared" ref="N17:N43" si="5">J17-L17</f>
        <v>300</v>
      </c>
      <c r="P17" s="3">
        <v>3600</v>
      </c>
    </row>
    <row r="18" spans="1:16" x14ac:dyDescent="0.25">
      <c r="A18" t="s">
        <v>10</v>
      </c>
      <c r="C18" s="3">
        <v>0</v>
      </c>
      <c r="E18" s="3">
        <v>0</v>
      </c>
      <c r="G18" s="3">
        <f t="shared" si="4"/>
        <v>0</v>
      </c>
      <c r="J18" s="7">
        <f>'Dec 2013'!J18+C18</f>
        <v>3000</v>
      </c>
      <c r="L18" s="7">
        <f>'Dec 2013'!L18+E18</f>
        <v>3000</v>
      </c>
      <c r="N18" s="7">
        <f t="shared" si="5"/>
        <v>0</v>
      </c>
      <c r="P18" s="3">
        <v>6000</v>
      </c>
    </row>
    <row r="19" spans="1:16" x14ac:dyDescent="0.25">
      <c r="A19" t="s">
        <v>11</v>
      </c>
      <c r="C19" s="3">
        <v>0</v>
      </c>
      <c r="E19" s="3">
        <v>0</v>
      </c>
      <c r="G19" s="3">
        <f t="shared" si="4"/>
        <v>0</v>
      </c>
      <c r="J19" s="7">
        <f>'Dec 2013'!J19+C19</f>
        <v>1200</v>
      </c>
      <c r="L19" s="7">
        <f>'Dec 2013'!L19+E19</f>
        <v>1200</v>
      </c>
      <c r="N19" s="7">
        <f t="shared" si="5"/>
        <v>0</v>
      </c>
      <c r="P19" s="3">
        <v>3000</v>
      </c>
    </row>
    <row r="20" spans="1:16" x14ac:dyDescent="0.25">
      <c r="A20" t="s">
        <v>12</v>
      </c>
      <c r="C20" s="3">
        <v>0</v>
      </c>
      <c r="E20" s="3">
        <f>P20/12</f>
        <v>166.66666666666666</v>
      </c>
      <c r="G20" s="3">
        <f t="shared" si="4"/>
        <v>-166.66666666666666</v>
      </c>
      <c r="J20" s="7">
        <f>'Dec 2013'!J20+C20</f>
        <v>0</v>
      </c>
      <c r="L20" s="7">
        <f>'Dec 2013'!L20+E20</f>
        <v>1166.6666666666665</v>
      </c>
      <c r="N20" s="7">
        <f t="shared" si="5"/>
        <v>-1166.6666666666665</v>
      </c>
      <c r="P20" s="3">
        <v>2000</v>
      </c>
    </row>
    <row r="21" spans="1:16" x14ac:dyDescent="0.25">
      <c r="A21" t="s">
        <v>13</v>
      </c>
      <c r="C21" s="3">
        <v>439.69</v>
      </c>
      <c r="E21" s="3">
        <f t="shared" ref="E21:E22" si="6">P21/12</f>
        <v>435</v>
      </c>
      <c r="G21" s="3">
        <f t="shared" si="4"/>
        <v>4.6899999999999977</v>
      </c>
      <c r="J21" s="7">
        <f>'Dec 2013'!J21+C21</f>
        <v>3080.35</v>
      </c>
      <c r="L21" s="7">
        <f>'Dec 2013'!L21+E21</f>
        <v>3045</v>
      </c>
      <c r="N21" s="7">
        <f t="shared" si="5"/>
        <v>35.349999999999909</v>
      </c>
      <c r="P21" s="3">
        <v>5220</v>
      </c>
    </row>
    <row r="22" spans="1:16" x14ac:dyDescent="0.25">
      <c r="A22" t="s">
        <v>14</v>
      </c>
      <c r="C22" s="3">
        <v>2767.5</v>
      </c>
      <c r="E22" s="3">
        <f t="shared" si="6"/>
        <v>2767.5</v>
      </c>
      <c r="G22" s="3">
        <f t="shared" si="4"/>
        <v>0</v>
      </c>
      <c r="J22" s="7">
        <f>'Dec 2013'!J22+C22</f>
        <v>19372.5</v>
      </c>
      <c r="L22" s="7">
        <f>'Dec 2013'!L22+E22</f>
        <v>19372.5</v>
      </c>
      <c r="N22" s="7">
        <f t="shared" si="5"/>
        <v>0</v>
      </c>
      <c r="P22" s="3">
        <v>33210</v>
      </c>
    </row>
    <row r="23" spans="1:16" x14ac:dyDescent="0.25">
      <c r="A23" t="s">
        <v>15</v>
      </c>
      <c r="C23" s="3">
        <v>0</v>
      </c>
      <c r="E23" s="3">
        <v>0</v>
      </c>
      <c r="G23" s="3">
        <f t="shared" si="4"/>
        <v>0</v>
      </c>
      <c r="J23" s="7">
        <f>'Dec 2013'!J23+C23</f>
        <v>3652</v>
      </c>
      <c r="L23" s="7">
        <f>'Dec 2013'!L23+E23</f>
        <v>3652</v>
      </c>
      <c r="N23" s="7">
        <f t="shared" si="5"/>
        <v>0</v>
      </c>
      <c r="P23" s="3">
        <v>3652</v>
      </c>
    </row>
    <row r="24" spans="1:16" x14ac:dyDescent="0.25">
      <c r="A24" t="s">
        <v>16</v>
      </c>
      <c r="C24" s="3">
        <v>0</v>
      </c>
      <c r="E24" s="3">
        <v>0</v>
      </c>
      <c r="G24" s="3">
        <f t="shared" si="4"/>
        <v>0</v>
      </c>
      <c r="J24" s="7">
        <f>'Dec 2013'!J24+C24</f>
        <v>531</v>
      </c>
      <c r="L24" s="7">
        <f>'Dec 2013'!L24+E24</f>
        <v>531</v>
      </c>
      <c r="N24" s="7">
        <f t="shared" si="5"/>
        <v>0</v>
      </c>
      <c r="P24" s="3">
        <v>531</v>
      </c>
    </row>
    <row r="25" spans="1:16" x14ac:dyDescent="0.25">
      <c r="A25" t="s">
        <v>17</v>
      </c>
      <c r="C25" s="3">
        <v>335</v>
      </c>
      <c r="E25" s="3">
        <v>335</v>
      </c>
      <c r="G25" s="3">
        <f t="shared" si="4"/>
        <v>0</v>
      </c>
      <c r="J25" s="7">
        <f>'Dec 2013'!J25+C25</f>
        <v>335</v>
      </c>
      <c r="L25" s="7">
        <f>'Dec 2013'!L25+E25</f>
        <v>335</v>
      </c>
      <c r="N25" s="7">
        <f t="shared" si="5"/>
        <v>0</v>
      </c>
      <c r="P25" s="3">
        <v>435</v>
      </c>
    </row>
    <row r="26" spans="1:16" x14ac:dyDescent="0.25">
      <c r="A26" t="s">
        <v>18</v>
      </c>
      <c r="C26" s="3">
        <v>0</v>
      </c>
      <c r="E26" s="3">
        <f t="shared" ref="E26:E43" si="7">P26/12</f>
        <v>583.33333333333337</v>
      </c>
      <c r="G26" s="3">
        <f t="shared" si="4"/>
        <v>-583.33333333333337</v>
      </c>
      <c r="J26" s="7">
        <f>'Dec 2013'!J26+C26</f>
        <v>808.06</v>
      </c>
      <c r="L26" s="7">
        <f>'Dec 2013'!L26+E26</f>
        <v>4083.3333333333339</v>
      </c>
      <c r="N26" s="7">
        <f t="shared" si="5"/>
        <v>-3275.273333333334</v>
      </c>
      <c r="P26" s="3">
        <v>7000</v>
      </c>
    </row>
    <row r="27" spans="1:16" x14ac:dyDescent="0.25">
      <c r="A27" t="s">
        <v>19</v>
      </c>
      <c r="C27" s="3">
        <v>0</v>
      </c>
      <c r="E27" s="3">
        <f t="shared" si="7"/>
        <v>125</v>
      </c>
      <c r="G27" s="3">
        <f t="shared" si="4"/>
        <v>-125</v>
      </c>
      <c r="J27" s="7">
        <f>'Dec 2013'!J27+C27</f>
        <v>30.53</v>
      </c>
      <c r="L27" s="7">
        <f>'Dec 2013'!L27+E27</f>
        <v>875</v>
      </c>
      <c r="N27" s="7">
        <f t="shared" si="5"/>
        <v>-844.47</v>
      </c>
      <c r="P27" s="3">
        <v>1500</v>
      </c>
    </row>
    <row r="28" spans="1:16" x14ac:dyDescent="0.25">
      <c r="A28" t="s">
        <v>20</v>
      </c>
      <c r="C28" s="3">
        <f>634.5+261+617.25</f>
        <v>1512.75</v>
      </c>
      <c r="E28" s="3">
        <v>1250</v>
      </c>
      <c r="G28" s="3">
        <f t="shared" si="4"/>
        <v>262.75</v>
      </c>
      <c r="J28" s="7">
        <f>'Dec 2013'!J28+C28</f>
        <v>1622.75</v>
      </c>
      <c r="L28" s="7">
        <f>'Dec 2013'!L28+E28</f>
        <v>2500</v>
      </c>
      <c r="N28" s="7">
        <f t="shared" si="5"/>
        <v>-877.25</v>
      </c>
      <c r="P28" s="3">
        <v>5000</v>
      </c>
    </row>
    <row r="29" spans="1:16" x14ac:dyDescent="0.25">
      <c r="A29" t="s">
        <v>21</v>
      </c>
      <c r="C29" s="3">
        <v>0</v>
      </c>
      <c r="E29" s="3">
        <v>0</v>
      </c>
      <c r="G29" s="3">
        <f t="shared" si="4"/>
        <v>0</v>
      </c>
      <c r="J29" s="7">
        <f>'Dec 2013'!J29+C29</f>
        <v>0</v>
      </c>
      <c r="L29" s="7">
        <f>'Dec 2013'!L29+E29</f>
        <v>0</v>
      </c>
      <c r="N29" s="7">
        <f t="shared" si="5"/>
        <v>0</v>
      </c>
      <c r="P29" s="3">
        <v>2000</v>
      </c>
    </row>
    <row r="30" spans="1:16" x14ac:dyDescent="0.25">
      <c r="A30" t="s">
        <v>22</v>
      </c>
      <c r="C30" s="3">
        <f>64.4+5.6+36.8</f>
        <v>106.8</v>
      </c>
      <c r="E30" s="3">
        <f t="shared" si="7"/>
        <v>12.5</v>
      </c>
      <c r="G30" s="3">
        <f t="shared" si="4"/>
        <v>94.3</v>
      </c>
      <c r="J30" s="7">
        <f>'Dec 2013'!J30+C30</f>
        <v>137.41999999999999</v>
      </c>
      <c r="L30" s="7">
        <f>'Dec 2013'!L30+E30</f>
        <v>87.5</v>
      </c>
      <c r="N30" s="7">
        <f t="shared" si="5"/>
        <v>49.919999999999987</v>
      </c>
      <c r="P30" s="3">
        <v>150</v>
      </c>
    </row>
    <row r="31" spans="1:16" x14ac:dyDescent="0.25">
      <c r="A31" t="s">
        <v>23</v>
      </c>
      <c r="C31" s="3">
        <v>0</v>
      </c>
      <c r="E31" s="3">
        <v>0</v>
      </c>
      <c r="G31" s="3">
        <f t="shared" si="4"/>
        <v>0</v>
      </c>
      <c r="J31" s="7">
        <f>'Dec 2013'!J31+C31</f>
        <v>282.29000000000002</v>
      </c>
      <c r="L31" s="7">
        <f>'Dec 2013'!L31+E31</f>
        <v>300</v>
      </c>
      <c r="N31" s="7">
        <f t="shared" si="5"/>
        <v>-17.70999999999998</v>
      </c>
      <c r="P31" s="3">
        <v>1200</v>
      </c>
    </row>
    <row r="32" spans="1:16" x14ac:dyDescent="0.25">
      <c r="A32" t="s">
        <v>24</v>
      </c>
      <c r="C32" s="3">
        <v>0</v>
      </c>
      <c r="E32" s="3">
        <f t="shared" si="7"/>
        <v>125</v>
      </c>
      <c r="G32" s="3">
        <f t="shared" si="4"/>
        <v>-125</v>
      </c>
      <c r="J32" s="7">
        <f>'Dec 2013'!J32+C32</f>
        <v>450</v>
      </c>
      <c r="L32" s="7">
        <f>'Dec 2013'!L32+E32</f>
        <v>875</v>
      </c>
      <c r="N32" s="7">
        <f t="shared" si="5"/>
        <v>-425</v>
      </c>
      <c r="P32" s="3">
        <v>1500</v>
      </c>
    </row>
    <row r="33" spans="1:16" x14ac:dyDescent="0.25">
      <c r="A33" t="s">
        <v>25</v>
      </c>
      <c r="C33" s="3">
        <v>0</v>
      </c>
      <c r="E33" s="3">
        <v>0</v>
      </c>
      <c r="G33" s="3">
        <f t="shared" si="4"/>
        <v>0</v>
      </c>
      <c r="J33" s="7">
        <f>'Dec 2013'!J33+C33</f>
        <v>0</v>
      </c>
      <c r="L33" s="7">
        <f>'Dec 2013'!L33+E33</f>
        <v>0</v>
      </c>
      <c r="N33" s="7">
        <f t="shared" si="5"/>
        <v>0</v>
      </c>
      <c r="P33" s="3">
        <v>1900</v>
      </c>
    </row>
    <row r="34" spans="1:16" x14ac:dyDescent="0.25">
      <c r="A34" t="s">
        <v>26</v>
      </c>
      <c r="C34" s="3">
        <v>0</v>
      </c>
      <c r="E34" s="3">
        <f t="shared" si="7"/>
        <v>833.33333333333337</v>
      </c>
      <c r="G34" s="3">
        <f t="shared" si="4"/>
        <v>-833.33333333333337</v>
      </c>
      <c r="J34" s="7">
        <f>'Dec 2013'!J34+C34</f>
        <v>6008.4699999999993</v>
      </c>
      <c r="L34" s="7">
        <f>'Dec 2013'!L34+E34</f>
        <v>5833.333333333333</v>
      </c>
      <c r="N34" s="7">
        <f t="shared" si="5"/>
        <v>175.13666666666631</v>
      </c>
      <c r="P34" s="3">
        <v>10000</v>
      </c>
    </row>
    <row r="35" spans="1:16" x14ac:dyDescent="0.25">
      <c r="A35" t="s">
        <v>63</v>
      </c>
      <c r="C35" s="3">
        <v>950</v>
      </c>
      <c r="E35" s="3">
        <v>950</v>
      </c>
      <c r="G35" s="3">
        <f t="shared" si="4"/>
        <v>0</v>
      </c>
      <c r="J35" s="7">
        <f>'Dec 2013'!J35+C35</f>
        <v>950</v>
      </c>
      <c r="L35" s="7">
        <f>'Dec 2013'!L35+E35</f>
        <v>950</v>
      </c>
      <c r="N35" s="7">
        <f t="shared" ref="N35" si="8">J35-L35</f>
        <v>0</v>
      </c>
      <c r="P35" s="3">
        <v>2850</v>
      </c>
    </row>
    <row r="36" spans="1:16" x14ac:dyDescent="0.25">
      <c r="A36" t="s">
        <v>27</v>
      </c>
      <c r="G36" s="3" t="s">
        <v>39</v>
      </c>
      <c r="J36" s="7" t="s">
        <v>39</v>
      </c>
      <c r="L36" s="7" t="s">
        <v>39</v>
      </c>
      <c r="N36" s="7" t="s">
        <v>39</v>
      </c>
    </row>
    <row r="37" spans="1:16" x14ac:dyDescent="0.25">
      <c r="A37" t="s">
        <v>28</v>
      </c>
      <c r="C37" s="3">
        <v>50</v>
      </c>
      <c r="E37" s="3">
        <f t="shared" si="7"/>
        <v>50</v>
      </c>
      <c r="G37" s="3">
        <f t="shared" si="4"/>
        <v>0</v>
      </c>
      <c r="J37" s="7">
        <f>'Dec 2013'!J37+C37</f>
        <v>400</v>
      </c>
      <c r="L37" s="7">
        <f>'Dec 2013'!L37+E37</f>
        <v>350</v>
      </c>
      <c r="N37" s="7">
        <f t="shared" si="5"/>
        <v>50</v>
      </c>
      <c r="P37" s="3">
        <v>600</v>
      </c>
    </row>
    <row r="38" spans="1:16" x14ac:dyDescent="0.25">
      <c r="A38" t="s">
        <v>37</v>
      </c>
      <c r="C38" s="3">
        <v>0</v>
      </c>
      <c r="E38" s="3">
        <v>0</v>
      </c>
      <c r="G38" s="3">
        <f t="shared" si="4"/>
        <v>0</v>
      </c>
      <c r="J38" s="7">
        <f>'Dec 2013'!J38+C38</f>
        <v>238</v>
      </c>
      <c r="L38" s="7">
        <f>'Dec 2013'!L38+E38</f>
        <v>212.5</v>
      </c>
      <c r="N38" s="7">
        <f t="shared" si="5"/>
        <v>25.5</v>
      </c>
      <c r="P38" s="3">
        <v>425</v>
      </c>
    </row>
    <row r="39" spans="1:16" x14ac:dyDescent="0.25">
      <c r="A39" t="s">
        <v>29</v>
      </c>
      <c r="C39" s="3">
        <v>0</v>
      </c>
      <c r="E39" s="3">
        <v>0</v>
      </c>
      <c r="G39" s="3">
        <f t="shared" si="4"/>
        <v>0</v>
      </c>
      <c r="J39" s="7">
        <f>'Dec 2013'!J39+C39</f>
        <v>101.8</v>
      </c>
      <c r="L39" s="7">
        <f>'Dec 2013'!L39+E39</f>
        <v>102</v>
      </c>
      <c r="N39" s="7">
        <f t="shared" si="5"/>
        <v>-0.20000000000000284</v>
      </c>
      <c r="P39" s="3">
        <v>102</v>
      </c>
    </row>
    <row r="40" spans="1:16" x14ac:dyDescent="0.25">
      <c r="A40" t="s">
        <v>30</v>
      </c>
      <c r="C40" s="3">
        <f>13.36</f>
        <v>13.36</v>
      </c>
      <c r="E40" s="3">
        <v>0</v>
      </c>
      <c r="G40" s="3">
        <f t="shared" si="4"/>
        <v>13.36</v>
      </c>
      <c r="J40" s="7">
        <f>'Dec 2013'!J40+C40</f>
        <v>13.36</v>
      </c>
      <c r="L40" s="7">
        <f>'Dec 2013'!L40+E40</f>
        <v>0</v>
      </c>
      <c r="N40" s="7">
        <f t="shared" si="5"/>
        <v>13.36</v>
      </c>
      <c r="P40" s="3">
        <v>200</v>
      </c>
    </row>
    <row r="41" spans="1:16" x14ac:dyDescent="0.25">
      <c r="A41" t="s">
        <v>31</v>
      </c>
      <c r="C41" s="3">
        <v>0</v>
      </c>
      <c r="E41" s="3">
        <v>0</v>
      </c>
      <c r="G41" s="3">
        <f t="shared" si="4"/>
        <v>0</v>
      </c>
      <c r="J41" s="7">
        <f>'Dec 2013'!J41+C41</f>
        <v>0</v>
      </c>
      <c r="L41" s="7">
        <f>'Dec 2013'!L41+E41</f>
        <v>0</v>
      </c>
      <c r="N41" s="7">
        <f t="shared" si="5"/>
        <v>0</v>
      </c>
      <c r="P41" s="3">
        <v>250</v>
      </c>
    </row>
    <row r="42" spans="1:16" x14ac:dyDescent="0.25">
      <c r="A42" t="s">
        <v>46</v>
      </c>
      <c r="C42" s="3">
        <v>0</v>
      </c>
      <c r="E42" s="3">
        <f t="shared" si="7"/>
        <v>41.666666666666664</v>
      </c>
      <c r="G42" s="3">
        <f t="shared" si="4"/>
        <v>-41.666666666666664</v>
      </c>
      <c r="J42" s="7">
        <f>'Dec 2013'!J42+C42</f>
        <v>125</v>
      </c>
      <c r="L42" s="7">
        <f>'Dec 2013'!L42+E42</f>
        <v>249.99999999999997</v>
      </c>
      <c r="N42" s="7">
        <f t="shared" si="5"/>
        <v>-124.99999999999997</v>
      </c>
      <c r="P42" s="3">
        <v>500</v>
      </c>
    </row>
    <row r="43" spans="1:16" x14ac:dyDescent="0.25">
      <c r="A43" t="s">
        <v>32</v>
      </c>
      <c r="C43" s="3">
        <f>88+87.8-13.36</f>
        <v>162.44</v>
      </c>
      <c r="E43" s="3">
        <f t="shared" si="7"/>
        <v>83.333333333333329</v>
      </c>
      <c r="G43" s="3">
        <f t="shared" si="4"/>
        <v>79.106666666666669</v>
      </c>
      <c r="J43" s="7">
        <f>'Dec 2013'!J43+C43</f>
        <v>526.02</v>
      </c>
      <c r="L43" s="7">
        <f>'Dec 2013'!L43+E43</f>
        <v>499.99999999999994</v>
      </c>
      <c r="N43" s="7">
        <f t="shared" si="5"/>
        <v>26.020000000000039</v>
      </c>
      <c r="P43" s="3">
        <v>1000</v>
      </c>
    </row>
    <row r="45" spans="1:16" x14ac:dyDescent="0.25">
      <c r="A45" s="1" t="s">
        <v>33</v>
      </c>
      <c r="C45" s="3">
        <f>SUM(C17:C43)</f>
        <v>6637.54</v>
      </c>
      <c r="E45" s="3">
        <f>SUM(E17:E43)</f>
        <v>8058.333333333333</v>
      </c>
      <c r="G45" s="4">
        <f>SUM(G17:G43)</f>
        <v>-1420.7933333333337</v>
      </c>
      <c r="J45" s="3">
        <f>SUM(J17:J43)</f>
        <v>45264.549999999996</v>
      </c>
      <c r="L45" s="3">
        <f>SUM(L17:L43)</f>
        <v>51320.833333333336</v>
      </c>
      <c r="N45" s="4">
        <f>SUM(N17:N43)</f>
        <v>-6056.2833333333338</v>
      </c>
      <c r="P45" s="3">
        <f>SUM(P17:P43)</f>
        <v>93825</v>
      </c>
    </row>
  </sheetData>
  <pageMargins left="0" right="0" top="0" bottom="0" header="0.3" footer="0.3"/>
  <pageSetup scale="8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workbookViewId="0"/>
  </sheetViews>
  <sheetFormatPr defaultRowHeight="15" x14ac:dyDescent="0.25"/>
  <cols>
    <col min="2" max="2" width="16.85546875" customWidth="1"/>
    <col min="3" max="3" width="10" style="3" bestFit="1" customWidth="1"/>
    <col min="5" max="5" width="10.5703125" style="3" bestFit="1" customWidth="1"/>
    <col min="7" max="7" width="9.140625" style="3"/>
    <col min="16" max="16" width="11.5703125" style="3" bestFit="1" customWidth="1"/>
  </cols>
  <sheetData>
    <row r="2" spans="1:16" x14ac:dyDescent="0.25">
      <c r="D2" s="1" t="s">
        <v>64</v>
      </c>
      <c r="K2" s="1" t="s">
        <v>42</v>
      </c>
    </row>
    <row r="3" spans="1:16" x14ac:dyDescent="0.25">
      <c r="D3" s="1" t="s">
        <v>39</v>
      </c>
      <c r="J3" s="5" t="s">
        <v>40</v>
      </c>
      <c r="L3" s="5" t="s">
        <v>40</v>
      </c>
      <c r="N3" s="5" t="s">
        <v>40</v>
      </c>
      <c r="P3" s="6" t="s">
        <v>41</v>
      </c>
    </row>
    <row r="4" spans="1:16" x14ac:dyDescent="0.25">
      <c r="C4" s="4" t="s">
        <v>34</v>
      </c>
      <c r="E4" s="4" t="s">
        <v>35</v>
      </c>
      <c r="G4" s="4" t="s">
        <v>36</v>
      </c>
      <c r="J4" s="4" t="s">
        <v>34</v>
      </c>
      <c r="L4" s="4" t="s">
        <v>35</v>
      </c>
      <c r="N4" s="4" t="s">
        <v>36</v>
      </c>
    </row>
    <row r="5" spans="1:16" x14ac:dyDescent="0.25">
      <c r="A5" s="1" t="s">
        <v>65</v>
      </c>
    </row>
    <row r="6" spans="1:16" x14ac:dyDescent="0.25">
      <c r="A6" t="s">
        <v>1</v>
      </c>
      <c r="C6" s="3">
        <f>2178.06+7114.21+6416.78+15048.46+313.09</f>
        <v>31070.6</v>
      </c>
      <c r="E6" s="3">
        <v>30000</v>
      </c>
      <c r="G6" s="3">
        <f>C6-E6</f>
        <v>1070.5999999999985</v>
      </c>
      <c r="J6" s="7">
        <f>'Jan 2014'!J6+C6</f>
        <v>38713.769999999997</v>
      </c>
      <c r="L6" s="7">
        <f>'Jan 2014'!L6+E6</f>
        <v>37600</v>
      </c>
      <c r="N6" s="7">
        <f>J6-L6</f>
        <v>1113.7699999999968</v>
      </c>
      <c r="P6" s="3">
        <v>42000</v>
      </c>
    </row>
    <row r="7" spans="1:16" x14ac:dyDescent="0.25">
      <c r="A7" t="s">
        <v>2</v>
      </c>
      <c r="C7" s="3">
        <v>646.76</v>
      </c>
      <c r="E7" s="3">
        <f>P7/12</f>
        <v>650</v>
      </c>
      <c r="G7" s="3">
        <f t="shared" ref="G7:G10" si="0">C7-E7</f>
        <v>-3.2400000000000091</v>
      </c>
      <c r="J7" s="7">
        <f>'Jan 2014'!J7+C7</f>
        <v>5291.9400000000005</v>
      </c>
      <c r="L7" s="7">
        <f>'Jan 2014'!L7+E7</f>
        <v>5200</v>
      </c>
      <c r="N7" s="7">
        <f t="shared" ref="N7:N10" si="1">J7-L7</f>
        <v>91.940000000000509</v>
      </c>
      <c r="P7" s="3">
        <v>7800</v>
      </c>
    </row>
    <row r="8" spans="1:16" x14ac:dyDescent="0.25">
      <c r="A8" t="s">
        <v>3</v>
      </c>
      <c r="C8" s="3">
        <f>12.84+6.33</f>
        <v>19.170000000000002</v>
      </c>
      <c r="E8" s="3">
        <f t="shared" ref="E8:E10" si="2">P8/12</f>
        <v>20</v>
      </c>
      <c r="G8" s="3">
        <f t="shared" si="0"/>
        <v>-0.82999999999999829</v>
      </c>
      <c r="J8" s="7">
        <f>'Jan 2014'!J8+C8</f>
        <v>160.18</v>
      </c>
      <c r="L8" s="7">
        <f>'Jan 2014'!L8+E8</f>
        <v>160</v>
      </c>
      <c r="N8" s="7">
        <f t="shared" si="1"/>
        <v>0.18000000000000682</v>
      </c>
      <c r="P8" s="3">
        <v>240</v>
      </c>
    </row>
    <row r="9" spans="1:16" x14ac:dyDescent="0.25">
      <c r="A9" t="s">
        <v>4</v>
      </c>
      <c r="C9" s="3">
        <f>2850.28+1753.73+280</f>
        <v>4884.01</v>
      </c>
      <c r="E9" s="3">
        <v>0</v>
      </c>
      <c r="G9" s="3">
        <f t="shared" si="0"/>
        <v>4884.01</v>
      </c>
      <c r="J9" s="7">
        <f>'Jan 2014'!J9+C9</f>
        <v>21477.46</v>
      </c>
      <c r="L9" s="7">
        <f>'Jan 2014'!L9+E9</f>
        <v>19125</v>
      </c>
      <c r="N9" s="7">
        <f t="shared" si="1"/>
        <v>2352.4599999999991</v>
      </c>
      <c r="P9" s="3">
        <v>25500</v>
      </c>
    </row>
    <row r="10" spans="1:16" x14ac:dyDescent="0.25">
      <c r="A10" t="s">
        <v>5</v>
      </c>
      <c r="C10" s="3">
        <v>271.56</v>
      </c>
      <c r="E10" s="3">
        <f t="shared" si="2"/>
        <v>272</v>
      </c>
      <c r="G10" s="3">
        <f t="shared" si="0"/>
        <v>-0.43999999999999773</v>
      </c>
      <c r="J10" s="7">
        <f>'Jan 2014'!J10+C10</f>
        <v>2172.4199999999996</v>
      </c>
      <c r="L10" s="7">
        <f>'Jan 2014'!L10+E10</f>
        <v>2176</v>
      </c>
      <c r="N10" s="7">
        <f t="shared" si="1"/>
        <v>-3.580000000000382</v>
      </c>
      <c r="P10" s="3">
        <v>3264</v>
      </c>
    </row>
    <row r="12" spans="1:16" x14ac:dyDescent="0.25">
      <c r="A12" s="1" t="s">
        <v>6</v>
      </c>
      <c r="C12" s="3">
        <f>SUM(C6:C10)</f>
        <v>36892.099999999991</v>
      </c>
      <c r="E12" s="3">
        <f>SUM(E6:E10)</f>
        <v>30942</v>
      </c>
      <c r="G12" s="3">
        <f>SUM(G6:G10)</f>
        <v>5950.0999999999995</v>
      </c>
      <c r="J12" s="3">
        <f>SUM(J6:J10)</f>
        <v>67815.77</v>
      </c>
      <c r="L12" s="3">
        <f>SUM(L6:L10)</f>
        <v>64261</v>
      </c>
      <c r="N12" s="3">
        <f>SUM(N6:N10)</f>
        <v>3554.7699999999963</v>
      </c>
      <c r="P12" s="3">
        <f>SUM(P6:P10)</f>
        <v>78804</v>
      </c>
    </row>
    <row r="15" spans="1:16" x14ac:dyDescent="0.25">
      <c r="A15" s="1" t="s">
        <v>66</v>
      </c>
    </row>
    <row r="16" spans="1:16" x14ac:dyDescent="0.25">
      <c r="A16" t="s">
        <v>8</v>
      </c>
    </row>
    <row r="17" spans="1:16" x14ac:dyDescent="0.25">
      <c r="A17" t="s">
        <v>9</v>
      </c>
      <c r="C17" s="3">
        <v>335</v>
      </c>
      <c r="E17" s="3">
        <f t="shared" ref="E17" si="3">P17/12</f>
        <v>300</v>
      </c>
      <c r="G17" s="3">
        <f t="shared" ref="G17:G43" si="4">C17-E17</f>
        <v>35</v>
      </c>
      <c r="J17" s="7">
        <f>'Jan 2014'!J17+C17</f>
        <v>2735</v>
      </c>
      <c r="L17" s="7">
        <f>'Jan 2014'!L17+E17</f>
        <v>2400</v>
      </c>
      <c r="N17" s="7">
        <f t="shared" ref="N17:N43" si="5">J17-L17</f>
        <v>335</v>
      </c>
      <c r="P17" s="3">
        <v>3600</v>
      </c>
    </row>
    <row r="18" spans="1:16" x14ac:dyDescent="0.25">
      <c r="A18" t="s">
        <v>10</v>
      </c>
      <c r="C18" s="3">
        <v>0</v>
      </c>
      <c r="E18" s="3">
        <v>0</v>
      </c>
      <c r="G18" s="3">
        <f t="shared" si="4"/>
        <v>0</v>
      </c>
      <c r="J18" s="7">
        <f>'Jan 2014'!J18+C18</f>
        <v>3000</v>
      </c>
      <c r="L18" s="7">
        <f>'Jan 2014'!L18+E18</f>
        <v>3000</v>
      </c>
      <c r="N18" s="7">
        <f t="shared" si="5"/>
        <v>0</v>
      </c>
      <c r="P18" s="3">
        <v>6000</v>
      </c>
    </row>
    <row r="19" spans="1:16" x14ac:dyDescent="0.25">
      <c r="A19" t="s">
        <v>11</v>
      </c>
      <c r="C19" s="3">
        <v>0</v>
      </c>
      <c r="E19" s="3">
        <v>0</v>
      </c>
      <c r="G19" s="3">
        <f t="shared" si="4"/>
        <v>0</v>
      </c>
      <c r="J19" s="7">
        <f>'Jan 2014'!J19+C19</f>
        <v>1200</v>
      </c>
      <c r="L19" s="7">
        <f>'Jan 2014'!L19+E19</f>
        <v>1200</v>
      </c>
      <c r="N19" s="7">
        <f t="shared" si="5"/>
        <v>0</v>
      </c>
      <c r="P19" s="3">
        <v>3000</v>
      </c>
    </row>
    <row r="20" spans="1:16" x14ac:dyDescent="0.25">
      <c r="A20" t="s">
        <v>12</v>
      </c>
      <c r="C20" s="3">
        <v>0</v>
      </c>
      <c r="E20" s="3">
        <f>P20/12</f>
        <v>166.66666666666666</v>
      </c>
      <c r="G20" s="3">
        <f t="shared" si="4"/>
        <v>-166.66666666666666</v>
      </c>
      <c r="J20" s="7">
        <f>'Jan 2014'!J20+C20</f>
        <v>0</v>
      </c>
      <c r="L20" s="7">
        <f>'Jan 2014'!L20+E20</f>
        <v>1333.3333333333333</v>
      </c>
      <c r="N20" s="7">
        <f t="shared" si="5"/>
        <v>-1333.3333333333333</v>
      </c>
      <c r="P20" s="3">
        <v>2000</v>
      </c>
    </row>
    <row r="21" spans="1:16" x14ac:dyDescent="0.25">
      <c r="A21" t="s">
        <v>13</v>
      </c>
      <c r="C21" s="3">
        <v>450.6</v>
      </c>
      <c r="E21" s="3">
        <f t="shared" ref="E21:E22" si="6">P21/12</f>
        <v>435</v>
      </c>
      <c r="G21" s="3">
        <f t="shared" si="4"/>
        <v>15.600000000000023</v>
      </c>
      <c r="J21" s="7">
        <f>'Jan 2014'!J21+C21</f>
        <v>3530.95</v>
      </c>
      <c r="L21" s="7">
        <f>'Jan 2014'!L21+E21</f>
        <v>3480</v>
      </c>
      <c r="N21" s="7">
        <f t="shared" si="5"/>
        <v>50.949999999999818</v>
      </c>
      <c r="P21" s="3">
        <v>5220</v>
      </c>
    </row>
    <row r="22" spans="1:16" x14ac:dyDescent="0.25">
      <c r="A22" t="s">
        <v>14</v>
      </c>
      <c r="C22" s="3">
        <v>2767.5</v>
      </c>
      <c r="E22" s="3">
        <f t="shared" si="6"/>
        <v>2767.5</v>
      </c>
      <c r="G22" s="3">
        <f t="shared" si="4"/>
        <v>0</v>
      </c>
      <c r="J22" s="7">
        <f>'Jan 2014'!J22+C22</f>
        <v>22140</v>
      </c>
      <c r="L22" s="7">
        <f>'Jan 2014'!L22+E22</f>
        <v>22140</v>
      </c>
      <c r="N22" s="7">
        <f t="shared" si="5"/>
        <v>0</v>
      </c>
      <c r="P22" s="3">
        <v>33210</v>
      </c>
    </row>
    <row r="23" spans="1:16" x14ac:dyDescent="0.25">
      <c r="A23" t="s">
        <v>15</v>
      </c>
      <c r="C23" s="3">
        <v>0</v>
      </c>
      <c r="E23" s="3">
        <v>0</v>
      </c>
      <c r="G23" s="3">
        <f t="shared" si="4"/>
        <v>0</v>
      </c>
      <c r="J23" s="7">
        <f>'Jan 2014'!J23+C23</f>
        <v>3652</v>
      </c>
      <c r="L23" s="7">
        <f>'Jan 2014'!L23+E23</f>
        <v>3652</v>
      </c>
      <c r="N23" s="7">
        <f t="shared" si="5"/>
        <v>0</v>
      </c>
      <c r="P23" s="3">
        <v>3652</v>
      </c>
    </row>
    <row r="24" spans="1:16" x14ac:dyDescent="0.25">
      <c r="A24" t="s">
        <v>16</v>
      </c>
      <c r="C24" s="3">
        <v>0</v>
      </c>
      <c r="E24" s="3">
        <v>0</v>
      </c>
      <c r="G24" s="3">
        <f t="shared" si="4"/>
        <v>0</v>
      </c>
      <c r="J24" s="7">
        <f>'Jan 2014'!J24+C24</f>
        <v>531</v>
      </c>
      <c r="L24" s="7">
        <f>'Jan 2014'!L24+E24</f>
        <v>531</v>
      </c>
      <c r="N24" s="7">
        <f t="shared" si="5"/>
        <v>0</v>
      </c>
      <c r="P24" s="3">
        <v>531</v>
      </c>
    </row>
    <row r="25" spans="1:16" x14ac:dyDescent="0.25">
      <c r="A25" t="s">
        <v>17</v>
      </c>
      <c r="C25" s="3">
        <v>0</v>
      </c>
      <c r="E25" s="3">
        <v>0</v>
      </c>
      <c r="G25" s="3">
        <f t="shared" si="4"/>
        <v>0</v>
      </c>
      <c r="J25" s="7">
        <f>'Jan 2014'!J25+C25</f>
        <v>335</v>
      </c>
      <c r="L25" s="7">
        <f>'Jan 2014'!L25+E25</f>
        <v>335</v>
      </c>
      <c r="N25" s="7">
        <f t="shared" si="5"/>
        <v>0</v>
      </c>
      <c r="P25" s="3">
        <v>435</v>
      </c>
    </row>
    <row r="26" spans="1:16" x14ac:dyDescent="0.25">
      <c r="A26" t="s">
        <v>18</v>
      </c>
      <c r="C26" s="3">
        <v>0</v>
      </c>
      <c r="E26" s="3">
        <f t="shared" ref="E26:E43" si="7">P26/12</f>
        <v>583.33333333333337</v>
      </c>
      <c r="G26" s="3">
        <f t="shared" si="4"/>
        <v>-583.33333333333337</v>
      </c>
      <c r="J26" s="7">
        <f>'Jan 2014'!J26+C26</f>
        <v>808.06</v>
      </c>
      <c r="L26" s="7">
        <f>'Jan 2014'!L26+E26</f>
        <v>4666.666666666667</v>
      </c>
      <c r="N26" s="7">
        <f t="shared" si="5"/>
        <v>-3858.606666666667</v>
      </c>
      <c r="P26" s="3">
        <v>7000</v>
      </c>
    </row>
    <row r="27" spans="1:16" x14ac:dyDescent="0.25">
      <c r="A27" t="s">
        <v>19</v>
      </c>
      <c r="C27" s="3">
        <v>0</v>
      </c>
      <c r="E27" s="3">
        <f t="shared" si="7"/>
        <v>125</v>
      </c>
      <c r="G27" s="3">
        <f t="shared" si="4"/>
        <v>-125</v>
      </c>
      <c r="J27" s="7">
        <f>'Jan 2014'!J27+C27</f>
        <v>30.53</v>
      </c>
      <c r="L27" s="7">
        <f>'Jan 2014'!L27+E27</f>
        <v>1000</v>
      </c>
      <c r="N27" s="7">
        <f t="shared" si="5"/>
        <v>-969.47</v>
      </c>
      <c r="P27" s="3">
        <v>1500</v>
      </c>
    </row>
    <row r="28" spans="1:16" x14ac:dyDescent="0.25">
      <c r="A28" t="s">
        <v>20</v>
      </c>
      <c r="C28" s="3">
        <f>728+768.5</f>
        <v>1496.5</v>
      </c>
      <c r="E28" s="3">
        <v>1250</v>
      </c>
      <c r="G28" s="3">
        <f t="shared" si="4"/>
        <v>246.5</v>
      </c>
      <c r="J28" s="7">
        <f>'Jan 2014'!J28+C28</f>
        <v>3119.25</v>
      </c>
      <c r="L28" s="7">
        <f>'Jan 2014'!L28+E28</f>
        <v>3750</v>
      </c>
      <c r="N28" s="7">
        <f t="shared" si="5"/>
        <v>-630.75</v>
      </c>
      <c r="P28" s="3">
        <v>5000</v>
      </c>
    </row>
    <row r="29" spans="1:16" x14ac:dyDescent="0.25">
      <c r="A29" t="s">
        <v>21</v>
      </c>
      <c r="C29" s="3">
        <v>0</v>
      </c>
      <c r="E29" s="3">
        <v>0</v>
      </c>
      <c r="G29" s="3">
        <f t="shared" si="4"/>
        <v>0</v>
      </c>
      <c r="J29" s="7">
        <f>'Jan 2014'!J29+C29</f>
        <v>0</v>
      </c>
      <c r="L29" s="7">
        <f>'Jan 2014'!L29+E29</f>
        <v>0</v>
      </c>
      <c r="N29" s="7">
        <f t="shared" si="5"/>
        <v>0</v>
      </c>
      <c r="P29" s="3">
        <v>2000</v>
      </c>
    </row>
    <row r="30" spans="1:16" x14ac:dyDescent="0.25">
      <c r="A30" t="s">
        <v>22</v>
      </c>
      <c r="C30" s="3">
        <v>6.49</v>
      </c>
      <c r="E30" s="3">
        <f t="shared" si="7"/>
        <v>12.5</v>
      </c>
      <c r="G30" s="3">
        <f t="shared" si="4"/>
        <v>-6.01</v>
      </c>
      <c r="J30" s="7">
        <f>'Jan 2014'!J30+C30</f>
        <v>143.91</v>
      </c>
      <c r="L30" s="7">
        <f>'Jan 2014'!L30+E30</f>
        <v>100</v>
      </c>
      <c r="N30" s="7">
        <f t="shared" si="5"/>
        <v>43.91</v>
      </c>
      <c r="P30" s="3">
        <v>150</v>
      </c>
    </row>
    <row r="31" spans="1:16" x14ac:dyDescent="0.25">
      <c r="A31" t="s">
        <v>23</v>
      </c>
      <c r="C31" s="3">
        <v>0</v>
      </c>
      <c r="E31" s="3">
        <v>0</v>
      </c>
      <c r="G31" s="3">
        <f t="shared" si="4"/>
        <v>0</v>
      </c>
      <c r="J31" s="7">
        <f>'Jan 2014'!J31+C31</f>
        <v>282.29000000000002</v>
      </c>
      <c r="L31" s="7">
        <f>'Jan 2014'!L31+E31</f>
        <v>300</v>
      </c>
      <c r="N31" s="7">
        <f t="shared" si="5"/>
        <v>-17.70999999999998</v>
      </c>
      <c r="P31" s="3">
        <v>1200</v>
      </c>
    </row>
    <row r="32" spans="1:16" x14ac:dyDescent="0.25">
      <c r="A32" t="s">
        <v>24</v>
      </c>
      <c r="C32" s="3">
        <v>0</v>
      </c>
      <c r="E32" s="3">
        <f t="shared" si="7"/>
        <v>125</v>
      </c>
      <c r="G32" s="3">
        <f t="shared" si="4"/>
        <v>-125</v>
      </c>
      <c r="J32" s="7">
        <f>'Jan 2014'!J32+C32</f>
        <v>450</v>
      </c>
      <c r="L32" s="7">
        <f>'Jan 2014'!L32+E32</f>
        <v>1000</v>
      </c>
      <c r="N32" s="7">
        <f t="shared" si="5"/>
        <v>-550</v>
      </c>
      <c r="P32" s="3">
        <v>1500</v>
      </c>
    </row>
    <row r="33" spans="1:16" x14ac:dyDescent="0.25">
      <c r="A33" t="s">
        <v>25</v>
      </c>
      <c r="C33" s="3">
        <v>1829.03</v>
      </c>
      <c r="E33" s="3">
        <v>1900</v>
      </c>
      <c r="G33" s="3">
        <f t="shared" si="4"/>
        <v>-70.970000000000027</v>
      </c>
      <c r="J33" s="7">
        <f>'Jan 2014'!J33+C33</f>
        <v>1829.03</v>
      </c>
      <c r="L33" s="7">
        <f>'Jan 2014'!L33+E33</f>
        <v>1900</v>
      </c>
      <c r="N33" s="7">
        <f t="shared" si="5"/>
        <v>-70.970000000000027</v>
      </c>
      <c r="P33" s="3">
        <v>1900</v>
      </c>
    </row>
    <row r="34" spans="1:16" x14ac:dyDescent="0.25">
      <c r="A34" t="s">
        <v>26</v>
      </c>
      <c r="C34" s="3">
        <v>1500</v>
      </c>
      <c r="E34" s="3">
        <f t="shared" si="7"/>
        <v>833.33333333333337</v>
      </c>
      <c r="G34" s="3">
        <f t="shared" si="4"/>
        <v>666.66666666666663</v>
      </c>
      <c r="J34" s="7">
        <f>'Jan 2014'!J34+C34</f>
        <v>7508.4699999999993</v>
      </c>
      <c r="L34" s="7">
        <f>'Jan 2014'!L34+E34</f>
        <v>6666.6666666666661</v>
      </c>
      <c r="N34" s="7">
        <f t="shared" si="5"/>
        <v>841.80333333333328</v>
      </c>
      <c r="P34" s="3">
        <v>10000</v>
      </c>
    </row>
    <row r="35" spans="1:16" x14ac:dyDescent="0.25">
      <c r="A35" t="s">
        <v>63</v>
      </c>
      <c r="C35" s="3">
        <v>0</v>
      </c>
      <c r="E35" s="3">
        <v>0</v>
      </c>
      <c r="G35" s="3">
        <f t="shared" si="4"/>
        <v>0</v>
      </c>
      <c r="J35" s="7">
        <f>'Jan 2014'!J35+C35</f>
        <v>950</v>
      </c>
      <c r="L35" s="7">
        <f>'Jan 2014'!L35+E35</f>
        <v>950</v>
      </c>
      <c r="N35" s="7">
        <f t="shared" si="5"/>
        <v>0</v>
      </c>
      <c r="P35" s="3">
        <v>950</v>
      </c>
    </row>
    <row r="36" spans="1:16" x14ac:dyDescent="0.25">
      <c r="A36" t="s">
        <v>27</v>
      </c>
      <c r="G36" s="3" t="s">
        <v>39</v>
      </c>
      <c r="J36" s="7" t="s">
        <v>39</v>
      </c>
      <c r="L36" s="7" t="s">
        <v>39</v>
      </c>
      <c r="N36" s="7" t="s">
        <v>39</v>
      </c>
    </row>
    <row r="37" spans="1:16" x14ac:dyDescent="0.25">
      <c r="A37" t="s">
        <v>28</v>
      </c>
      <c r="C37" s="3">
        <v>0</v>
      </c>
      <c r="E37" s="3">
        <f t="shared" si="7"/>
        <v>50</v>
      </c>
      <c r="G37" s="3">
        <f t="shared" si="4"/>
        <v>-50</v>
      </c>
      <c r="J37" s="7">
        <f>'Jan 2014'!J37+C37</f>
        <v>400</v>
      </c>
      <c r="L37" s="7">
        <f>'Jan 2014'!L37+E37</f>
        <v>400</v>
      </c>
      <c r="N37" s="7">
        <f t="shared" si="5"/>
        <v>0</v>
      </c>
      <c r="P37" s="3">
        <v>600</v>
      </c>
    </row>
    <row r="38" spans="1:16" x14ac:dyDescent="0.25">
      <c r="A38" t="s">
        <v>37</v>
      </c>
      <c r="C38" s="3">
        <v>0</v>
      </c>
      <c r="E38" s="3">
        <v>0</v>
      </c>
      <c r="G38" s="3">
        <f t="shared" si="4"/>
        <v>0</v>
      </c>
      <c r="J38" s="7">
        <f>'Jan 2014'!J38+C38</f>
        <v>238</v>
      </c>
      <c r="L38" s="7">
        <f>'Jan 2014'!L38+E38</f>
        <v>212.5</v>
      </c>
      <c r="N38" s="7">
        <f t="shared" si="5"/>
        <v>25.5</v>
      </c>
      <c r="P38" s="3">
        <v>425</v>
      </c>
    </row>
    <row r="39" spans="1:16" x14ac:dyDescent="0.25">
      <c r="A39" t="s">
        <v>29</v>
      </c>
      <c r="C39" s="3">
        <v>0</v>
      </c>
      <c r="E39" s="3">
        <v>0</v>
      </c>
      <c r="G39" s="3">
        <f t="shared" si="4"/>
        <v>0</v>
      </c>
      <c r="J39" s="7">
        <f>'Jan 2014'!J39+C39</f>
        <v>101.8</v>
      </c>
      <c r="L39" s="7">
        <f>'Jan 2014'!L39+E39</f>
        <v>102</v>
      </c>
      <c r="N39" s="7">
        <f t="shared" si="5"/>
        <v>-0.20000000000000284</v>
      </c>
      <c r="P39" s="3">
        <v>102</v>
      </c>
    </row>
    <row r="40" spans="1:16" x14ac:dyDescent="0.25">
      <c r="A40" t="s">
        <v>30</v>
      </c>
      <c r="C40" s="3">
        <v>0</v>
      </c>
      <c r="E40" s="3">
        <v>0</v>
      </c>
      <c r="G40" s="3">
        <f t="shared" si="4"/>
        <v>0</v>
      </c>
      <c r="J40" s="7">
        <f>'Jan 2014'!J40+C40</f>
        <v>13.36</v>
      </c>
      <c r="L40" s="7">
        <f>'Jan 2014'!L40+E40</f>
        <v>0</v>
      </c>
      <c r="N40" s="7">
        <f t="shared" si="5"/>
        <v>13.36</v>
      </c>
      <c r="P40" s="3">
        <v>200</v>
      </c>
    </row>
    <row r="41" spans="1:16" x14ac:dyDescent="0.25">
      <c r="A41" t="s">
        <v>31</v>
      </c>
      <c r="C41" s="3">
        <v>0</v>
      </c>
      <c r="E41" s="3">
        <v>0</v>
      </c>
      <c r="G41" s="3">
        <f t="shared" si="4"/>
        <v>0</v>
      </c>
      <c r="J41" s="7">
        <f>'Jan 2014'!J41+C41</f>
        <v>0</v>
      </c>
      <c r="L41" s="7">
        <f>'Jan 2014'!L41+E41</f>
        <v>0</v>
      </c>
      <c r="N41" s="7">
        <f t="shared" si="5"/>
        <v>0</v>
      </c>
      <c r="P41" s="3">
        <v>250</v>
      </c>
    </row>
    <row r="42" spans="1:16" x14ac:dyDescent="0.25">
      <c r="A42" t="s">
        <v>46</v>
      </c>
      <c r="C42" s="3">
        <v>0</v>
      </c>
      <c r="E42" s="3">
        <f t="shared" si="7"/>
        <v>41.666666666666664</v>
      </c>
      <c r="G42" s="3">
        <f t="shared" si="4"/>
        <v>-41.666666666666664</v>
      </c>
      <c r="J42" s="7">
        <f>'Jan 2014'!J42+C42</f>
        <v>125</v>
      </c>
      <c r="L42" s="7">
        <f>'Jan 2014'!L42+E42</f>
        <v>291.66666666666663</v>
      </c>
      <c r="N42" s="7">
        <f t="shared" si="5"/>
        <v>-166.66666666666663</v>
      </c>
      <c r="P42" s="3">
        <v>500</v>
      </c>
    </row>
    <row r="43" spans="1:16" x14ac:dyDescent="0.25">
      <c r="A43" t="s">
        <v>32</v>
      </c>
      <c r="C43" s="3">
        <v>78</v>
      </c>
      <c r="E43" s="3">
        <f t="shared" si="7"/>
        <v>83.333333333333329</v>
      </c>
      <c r="G43" s="3">
        <f t="shared" si="4"/>
        <v>-5.3333333333333286</v>
      </c>
      <c r="J43" s="7">
        <f>'Jan 2014'!J43+C43</f>
        <v>604.02</v>
      </c>
      <c r="L43" s="7">
        <f>'Jan 2014'!L43+E43</f>
        <v>583.33333333333326</v>
      </c>
      <c r="N43" s="7">
        <f t="shared" si="5"/>
        <v>20.686666666666724</v>
      </c>
      <c r="P43" s="3">
        <v>1000</v>
      </c>
    </row>
    <row r="45" spans="1:16" x14ac:dyDescent="0.25">
      <c r="A45" s="1" t="s">
        <v>33</v>
      </c>
      <c r="C45" s="3">
        <f>SUM(C17:C43)</f>
        <v>8463.119999999999</v>
      </c>
      <c r="E45" s="3">
        <f>SUM(E17:E43)</f>
        <v>8673.3333333333339</v>
      </c>
      <c r="G45" s="4">
        <f>SUM(G17:G43)</f>
        <v>-210.21333333333337</v>
      </c>
      <c r="J45" s="3">
        <f>SUM(J17:J43)</f>
        <v>53727.67</v>
      </c>
      <c r="L45" s="3">
        <f>SUM(L17:L43)</f>
        <v>59994.166666666657</v>
      </c>
      <c r="N45" s="4">
        <f>SUM(N17:N43)</f>
        <v>-6266.4966666666687</v>
      </c>
      <c r="P45" s="3">
        <f>SUM(P17:P43)</f>
        <v>91925</v>
      </c>
    </row>
  </sheetData>
  <pageMargins left="0" right="0" top="0" bottom="0" header="0.3" footer="0.3"/>
  <pageSetup scale="8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topLeftCell="A10" workbookViewId="0">
      <selection activeCell="J6" sqref="J6"/>
    </sheetView>
  </sheetViews>
  <sheetFormatPr defaultRowHeight="15" x14ac:dyDescent="0.25"/>
  <cols>
    <col min="2" max="2" width="16.85546875" customWidth="1"/>
    <col min="3" max="3" width="10" style="3" bestFit="1" customWidth="1"/>
    <col min="5" max="5" width="10.5703125" style="3" bestFit="1" customWidth="1"/>
    <col min="7" max="7" width="9.140625" style="3"/>
    <col min="10" max="10" width="10.85546875" customWidth="1"/>
    <col min="16" max="16" width="11.5703125" style="3" bestFit="1" customWidth="1"/>
  </cols>
  <sheetData>
    <row r="2" spans="1:16" x14ac:dyDescent="0.25">
      <c r="D2" s="1" t="s">
        <v>67</v>
      </c>
      <c r="K2" s="1" t="s">
        <v>42</v>
      </c>
    </row>
    <row r="3" spans="1:16" x14ac:dyDescent="0.25">
      <c r="D3" s="1" t="s">
        <v>39</v>
      </c>
      <c r="J3" s="5" t="s">
        <v>40</v>
      </c>
      <c r="L3" s="5" t="s">
        <v>40</v>
      </c>
      <c r="N3" s="5" t="s">
        <v>40</v>
      </c>
      <c r="P3" s="6" t="s">
        <v>41</v>
      </c>
    </row>
    <row r="4" spans="1:16" x14ac:dyDescent="0.25">
      <c r="C4" s="4" t="s">
        <v>34</v>
      </c>
      <c r="E4" s="4" t="s">
        <v>35</v>
      </c>
      <c r="G4" s="4" t="s">
        <v>36</v>
      </c>
      <c r="J4" s="4" t="s">
        <v>34</v>
      </c>
      <c r="L4" s="4" t="s">
        <v>35</v>
      </c>
      <c r="N4" s="4" t="s">
        <v>36</v>
      </c>
    </row>
    <row r="5" spans="1:16" x14ac:dyDescent="0.25">
      <c r="A5" s="1" t="s">
        <v>68</v>
      </c>
    </row>
    <row r="6" spans="1:16" x14ac:dyDescent="0.25">
      <c r="A6" t="s">
        <v>1</v>
      </c>
      <c r="C6" s="3">
        <f>1321.9+902.76+1005.48</f>
        <v>3230.14</v>
      </c>
      <c r="D6" t="s">
        <v>39</v>
      </c>
      <c r="E6" s="3">
        <v>4400</v>
      </c>
      <c r="G6" s="3">
        <f>C6-E6</f>
        <v>-1169.8600000000001</v>
      </c>
      <c r="J6" s="7">
        <f>'Feb 2014'!J6+C6-1040.89</f>
        <v>40903.019999999997</v>
      </c>
      <c r="L6" s="7">
        <f>'Feb 2014'!L6+E6</f>
        <v>42000</v>
      </c>
      <c r="N6" s="7">
        <f>J6-L6</f>
        <v>-1096.9800000000032</v>
      </c>
      <c r="P6" s="3">
        <v>42000</v>
      </c>
    </row>
    <row r="7" spans="1:16" x14ac:dyDescent="0.25">
      <c r="A7" t="s">
        <v>2</v>
      </c>
      <c r="C7" s="3">
        <v>573.35</v>
      </c>
      <c r="E7" s="3">
        <f>P7/12</f>
        <v>650</v>
      </c>
      <c r="G7" s="3">
        <f t="shared" ref="G7:G10" si="0">C7-E7</f>
        <v>-76.649999999999977</v>
      </c>
      <c r="J7" s="7">
        <f>'Feb 2014'!J7+C7</f>
        <v>5865.2900000000009</v>
      </c>
      <c r="L7" s="7">
        <f>'Feb 2014'!L7+E7</f>
        <v>5850</v>
      </c>
      <c r="N7" s="7">
        <f t="shared" ref="N7:N10" si="1">J7-L7</f>
        <v>15.290000000000873</v>
      </c>
      <c r="P7" s="3">
        <v>7800</v>
      </c>
    </row>
    <row r="8" spans="1:16" x14ac:dyDescent="0.25">
      <c r="A8" t="s">
        <v>3</v>
      </c>
      <c r="C8" s="3">
        <f>16.04+7.06</f>
        <v>23.099999999999998</v>
      </c>
      <c r="E8" s="3">
        <f t="shared" ref="E8:E10" si="2">P8/12</f>
        <v>20</v>
      </c>
      <c r="G8" s="3">
        <f t="shared" si="0"/>
        <v>3.0999999999999979</v>
      </c>
      <c r="J8" s="7">
        <f>'Feb 2014'!J8+C8</f>
        <v>183.28</v>
      </c>
      <c r="L8" s="7">
        <f>'Feb 2014'!L8+E8</f>
        <v>180</v>
      </c>
      <c r="N8" s="7">
        <f t="shared" si="1"/>
        <v>3.2800000000000011</v>
      </c>
      <c r="P8" s="3">
        <v>240</v>
      </c>
    </row>
    <row r="9" spans="1:16" x14ac:dyDescent="0.25">
      <c r="A9" t="s">
        <v>4</v>
      </c>
      <c r="C9" s="3">
        <v>0</v>
      </c>
      <c r="E9" s="3">
        <v>0</v>
      </c>
      <c r="G9" s="3">
        <f t="shared" si="0"/>
        <v>0</v>
      </c>
      <c r="J9" s="7">
        <f>'Feb 2014'!J9+C9</f>
        <v>21477.46</v>
      </c>
      <c r="L9" s="7">
        <f>'Feb 2014'!L9+E9</f>
        <v>19125</v>
      </c>
      <c r="N9" s="7">
        <f t="shared" si="1"/>
        <v>2352.4599999999991</v>
      </c>
      <c r="P9" s="3">
        <v>25500</v>
      </c>
    </row>
    <row r="10" spans="1:16" x14ac:dyDescent="0.25">
      <c r="A10" t="s">
        <v>5</v>
      </c>
      <c r="C10" s="3">
        <v>271.52</v>
      </c>
      <c r="E10" s="3">
        <f t="shared" si="2"/>
        <v>272</v>
      </c>
      <c r="G10" s="3">
        <f t="shared" si="0"/>
        <v>-0.48000000000001819</v>
      </c>
      <c r="J10" s="7">
        <f>'Feb 2014'!J10+C10</f>
        <v>2443.9399999999996</v>
      </c>
      <c r="L10" s="7">
        <f>'Feb 2014'!L10+E10</f>
        <v>2448</v>
      </c>
      <c r="N10" s="7">
        <f t="shared" si="1"/>
        <v>-4.0600000000004002</v>
      </c>
      <c r="P10" s="3">
        <v>3264</v>
      </c>
    </row>
    <row r="12" spans="1:16" x14ac:dyDescent="0.25">
      <c r="A12" s="1" t="s">
        <v>6</v>
      </c>
      <c r="C12" s="3">
        <f>SUM(C6:C10)</f>
        <v>4098.1099999999997</v>
      </c>
      <c r="E12" s="3">
        <f>SUM(E6:E10)</f>
        <v>5342</v>
      </c>
      <c r="G12" s="3">
        <f>SUM(G6:G10)</f>
        <v>-1243.8900000000003</v>
      </c>
      <c r="J12" s="3">
        <f>SUM(J6:J10)</f>
        <v>70872.989999999991</v>
      </c>
      <c r="L12" s="3">
        <f>SUM(L6:L10)</f>
        <v>69603</v>
      </c>
      <c r="N12" s="3">
        <f>SUM(N6:N10)</f>
        <v>1269.9899999999964</v>
      </c>
      <c r="P12" s="3">
        <f>SUM(P6:P10)</f>
        <v>78804</v>
      </c>
    </row>
    <row r="15" spans="1:16" x14ac:dyDescent="0.25">
      <c r="A15" s="1" t="s">
        <v>69</v>
      </c>
    </row>
    <row r="16" spans="1:16" x14ac:dyDescent="0.25">
      <c r="A16" t="s">
        <v>8</v>
      </c>
    </row>
    <row r="17" spans="1:16" x14ac:dyDescent="0.25">
      <c r="A17" t="s">
        <v>9</v>
      </c>
      <c r="C17" s="3">
        <v>500</v>
      </c>
      <c r="E17" s="3">
        <f t="shared" ref="E17" si="3">P17/12</f>
        <v>300</v>
      </c>
      <c r="G17" s="3">
        <f t="shared" ref="G17:G43" si="4">C17-E17</f>
        <v>200</v>
      </c>
      <c r="J17" s="7">
        <f>'Feb 2014'!J17+C17</f>
        <v>3235</v>
      </c>
      <c r="L17" s="7">
        <f>'Feb 2014'!L17+E17</f>
        <v>2700</v>
      </c>
      <c r="N17" s="7">
        <f t="shared" ref="N17:N43" si="5">J17-L17</f>
        <v>535</v>
      </c>
      <c r="P17" s="3">
        <v>3600</v>
      </c>
    </row>
    <row r="18" spans="1:16" x14ac:dyDescent="0.25">
      <c r="A18" t="s">
        <v>10</v>
      </c>
      <c r="C18" s="3">
        <v>1500</v>
      </c>
      <c r="E18" s="3">
        <v>1500</v>
      </c>
      <c r="G18" s="3">
        <f t="shared" si="4"/>
        <v>0</v>
      </c>
      <c r="J18" s="7">
        <f>'Feb 2014'!J18+C18</f>
        <v>4500</v>
      </c>
      <c r="L18" s="7">
        <f>'Feb 2014'!L18+E18</f>
        <v>4500</v>
      </c>
      <c r="N18" s="7">
        <f t="shared" si="5"/>
        <v>0</v>
      </c>
      <c r="P18" s="3">
        <v>6000</v>
      </c>
    </row>
    <row r="19" spans="1:16" x14ac:dyDescent="0.25">
      <c r="A19" t="s">
        <v>11</v>
      </c>
      <c r="C19" s="3">
        <f>225+225+150+150</f>
        <v>750</v>
      </c>
      <c r="E19" s="3">
        <f>75*3*4</f>
        <v>900</v>
      </c>
      <c r="G19" s="3">
        <f t="shared" si="4"/>
        <v>-150</v>
      </c>
      <c r="J19" s="7">
        <f>'Feb 2014'!J19+C19</f>
        <v>1950</v>
      </c>
      <c r="L19" s="7">
        <f>'Feb 2014'!L19+E19</f>
        <v>2100</v>
      </c>
      <c r="N19" s="7">
        <f t="shared" si="5"/>
        <v>-150</v>
      </c>
      <c r="P19" s="3">
        <v>3000</v>
      </c>
    </row>
    <row r="20" spans="1:16" x14ac:dyDescent="0.25">
      <c r="A20" t="s">
        <v>12</v>
      </c>
      <c r="C20" s="3">
        <v>0</v>
      </c>
      <c r="E20" s="3">
        <f>P20/12</f>
        <v>166.66666666666666</v>
      </c>
      <c r="G20" s="3">
        <f t="shared" si="4"/>
        <v>-166.66666666666666</v>
      </c>
      <c r="J20" s="7">
        <f>'Feb 2014'!J20+C20</f>
        <v>0</v>
      </c>
      <c r="L20" s="7">
        <f>'Feb 2014'!L20+E20</f>
        <v>1500</v>
      </c>
      <c r="N20" s="7">
        <f t="shared" si="5"/>
        <v>-1500</v>
      </c>
      <c r="P20" s="3">
        <v>2000</v>
      </c>
    </row>
    <row r="21" spans="1:16" x14ac:dyDescent="0.25">
      <c r="A21" t="s">
        <v>13</v>
      </c>
      <c r="C21" s="3">
        <v>451.59</v>
      </c>
      <c r="E21" s="3">
        <f t="shared" ref="E21:E22" si="6">P21/12</f>
        <v>435</v>
      </c>
      <c r="G21" s="3">
        <f t="shared" si="4"/>
        <v>16.589999999999975</v>
      </c>
      <c r="J21" s="7">
        <f>'Feb 2014'!J21+C21</f>
        <v>3982.54</v>
      </c>
      <c r="L21" s="7">
        <f>'Feb 2014'!L21+E21</f>
        <v>3915</v>
      </c>
      <c r="N21" s="7">
        <f t="shared" si="5"/>
        <v>67.539999999999964</v>
      </c>
      <c r="P21" s="3">
        <v>5220</v>
      </c>
    </row>
    <row r="22" spans="1:16" x14ac:dyDescent="0.25">
      <c r="A22" t="s">
        <v>14</v>
      </c>
      <c r="C22" s="3">
        <v>2767.5</v>
      </c>
      <c r="E22" s="3">
        <f t="shared" si="6"/>
        <v>2767.5</v>
      </c>
      <c r="G22" s="3">
        <f t="shared" si="4"/>
        <v>0</v>
      </c>
      <c r="J22" s="7">
        <f>'Feb 2014'!J22+C22</f>
        <v>24907.5</v>
      </c>
      <c r="L22" s="7">
        <f>'Feb 2014'!L22+E22</f>
        <v>24907.5</v>
      </c>
      <c r="N22" s="7">
        <f t="shared" si="5"/>
        <v>0</v>
      </c>
      <c r="P22" s="3">
        <v>33210</v>
      </c>
    </row>
    <row r="23" spans="1:16" x14ac:dyDescent="0.25">
      <c r="A23" t="s">
        <v>15</v>
      </c>
      <c r="C23" s="3">
        <v>0</v>
      </c>
      <c r="E23" s="3">
        <v>0</v>
      </c>
      <c r="G23" s="3">
        <f t="shared" si="4"/>
        <v>0</v>
      </c>
      <c r="J23" s="7">
        <f>'Feb 2014'!J23+C23</f>
        <v>3652</v>
      </c>
      <c r="L23" s="7">
        <f>'Feb 2014'!L23+E23</f>
        <v>3652</v>
      </c>
      <c r="N23" s="7">
        <f t="shared" si="5"/>
        <v>0</v>
      </c>
      <c r="P23" s="3">
        <v>3652</v>
      </c>
    </row>
    <row r="24" spans="1:16" x14ac:dyDescent="0.25">
      <c r="A24" t="s">
        <v>16</v>
      </c>
      <c r="C24" s="3">
        <v>0</v>
      </c>
      <c r="E24" s="3">
        <v>0</v>
      </c>
      <c r="G24" s="3">
        <f t="shared" si="4"/>
        <v>0</v>
      </c>
      <c r="J24" s="7">
        <f>'Feb 2014'!J24+C24</f>
        <v>531</v>
      </c>
      <c r="L24" s="7">
        <f>'Feb 2014'!L24+E24</f>
        <v>531</v>
      </c>
      <c r="N24" s="7">
        <f t="shared" si="5"/>
        <v>0</v>
      </c>
      <c r="P24" s="3">
        <v>531</v>
      </c>
    </row>
    <row r="25" spans="1:16" x14ac:dyDescent="0.25">
      <c r="A25" t="s">
        <v>17</v>
      </c>
      <c r="C25" s="3">
        <v>0</v>
      </c>
      <c r="E25" s="3">
        <v>0</v>
      </c>
      <c r="G25" s="3">
        <f t="shared" si="4"/>
        <v>0</v>
      </c>
      <c r="J25" s="7">
        <f>'Feb 2014'!J25+C25</f>
        <v>335</v>
      </c>
      <c r="L25" s="7">
        <f>'Feb 2014'!L25+E25</f>
        <v>335</v>
      </c>
      <c r="N25" s="7">
        <f t="shared" si="5"/>
        <v>0</v>
      </c>
      <c r="P25" s="3">
        <v>435</v>
      </c>
    </row>
    <row r="26" spans="1:16" x14ac:dyDescent="0.25">
      <c r="A26" t="s">
        <v>18</v>
      </c>
      <c r="C26" s="3">
        <v>0</v>
      </c>
      <c r="E26" s="3">
        <f t="shared" ref="E26:E43" si="7">P26/12</f>
        <v>583.33333333333337</v>
      </c>
      <c r="G26" s="3">
        <f t="shared" si="4"/>
        <v>-583.33333333333337</v>
      </c>
      <c r="J26" s="7">
        <f>'Feb 2014'!J26+C26</f>
        <v>808.06</v>
      </c>
      <c r="L26" s="7">
        <f>'Feb 2014'!L26+E26</f>
        <v>5250</v>
      </c>
      <c r="N26" s="7">
        <f t="shared" si="5"/>
        <v>-4441.9400000000005</v>
      </c>
      <c r="P26" s="3">
        <v>7000</v>
      </c>
    </row>
    <row r="27" spans="1:16" x14ac:dyDescent="0.25">
      <c r="A27" t="s">
        <v>19</v>
      </c>
      <c r="C27" s="3">
        <v>206</v>
      </c>
      <c r="E27" s="3">
        <f t="shared" si="7"/>
        <v>125</v>
      </c>
      <c r="G27" s="3">
        <f t="shared" si="4"/>
        <v>81</v>
      </c>
      <c r="J27" s="7">
        <f>'Feb 2014'!J27+C27</f>
        <v>236.53</v>
      </c>
      <c r="L27" s="7">
        <f>'Feb 2014'!L27+E27</f>
        <v>1125</v>
      </c>
      <c r="N27" s="7">
        <f t="shared" si="5"/>
        <v>-888.47</v>
      </c>
      <c r="P27" s="3">
        <v>1500</v>
      </c>
    </row>
    <row r="28" spans="1:16" x14ac:dyDescent="0.25">
      <c r="A28" t="s">
        <v>20</v>
      </c>
      <c r="C28" s="3">
        <f>425+151</f>
        <v>576</v>
      </c>
      <c r="E28" s="3">
        <v>1250</v>
      </c>
      <c r="G28" s="3">
        <f t="shared" si="4"/>
        <v>-674</v>
      </c>
      <c r="J28" s="7">
        <f>'Feb 2014'!J28+C28</f>
        <v>3695.25</v>
      </c>
      <c r="L28" s="7">
        <f>'Feb 2014'!L28+E28</f>
        <v>5000</v>
      </c>
      <c r="N28" s="7">
        <f t="shared" si="5"/>
        <v>-1304.75</v>
      </c>
      <c r="P28" s="3">
        <v>5000</v>
      </c>
    </row>
    <row r="29" spans="1:16" x14ac:dyDescent="0.25">
      <c r="A29" t="s">
        <v>21</v>
      </c>
      <c r="C29" s="3">
        <v>0</v>
      </c>
      <c r="E29" s="3">
        <v>0</v>
      </c>
      <c r="G29" s="3">
        <f t="shared" si="4"/>
        <v>0</v>
      </c>
      <c r="J29" s="7">
        <f>'Feb 2014'!J29+C29</f>
        <v>0</v>
      </c>
      <c r="L29" s="7">
        <f>'Feb 2014'!L29+E29</f>
        <v>0</v>
      </c>
      <c r="N29" s="7">
        <f t="shared" si="5"/>
        <v>0</v>
      </c>
      <c r="P29" s="3">
        <v>2000</v>
      </c>
    </row>
    <row r="30" spans="1:16" x14ac:dyDescent="0.25">
      <c r="A30" t="s">
        <v>22</v>
      </c>
      <c r="C30" s="3">
        <v>9.8000000000000007</v>
      </c>
      <c r="E30" s="3">
        <f t="shared" si="7"/>
        <v>12.5</v>
      </c>
      <c r="G30" s="3">
        <f t="shared" si="4"/>
        <v>-2.6999999999999993</v>
      </c>
      <c r="J30" s="7">
        <f>'Feb 2014'!J30+C30</f>
        <v>153.71</v>
      </c>
      <c r="L30" s="7">
        <f>'Feb 2014'!L30+E30</f>
        <v>112.5</v>
      </c>
      <c r="N30" s="7">
        <f t="shared" si="5"/>
        <v>41.210000000000008</v>
      </c>
      <c r="P30" s="3">
        <v>150</v>
      </c>
    </row>
    <row r="31" spans="1:16" x14ac:dyDescent="0.25">
      <c r="A31" t="s">
        <v>23</v>
      </c>
      <c r="C31" s="3">
        <v>0</v>
      </c>
      <c r="E31" s="3">
        <v>0</v>
      </c>
      <c r="G31" s="3">
        <f t="shared" si="4"/>
        <v>0</v>
      </c>
      <c r="J31" s="7">
        <f>'Feb 2014'!J31+C31</f>
        <v>282.29000000000002</v>
      </c>
      <c r="L31" s="7">
        <f>'Feb 2014'!L31+E31</f>
        <v>300</v>
      </c>
      <c r="N31" s="7">
        <f t="shared" si="5"/>
        <v>-17.70999999999998</v>
      </c>
      <c r="P31" s="3">
        <v>1200</v>
      </c>
    </row>
    <row r="32" spans="1:16" x14ac:dyDescent="0.25">
      <c r="A32" t="s">
        <v>24</v>
      </c>
      <c r="C32" s="3">
        <v>0</v>
      </c>
      <c r="E32" s="3">
        <f t="shared" si="7"/>
        <v>125</v>
      </c>
      <c r="G32" s="3">
        <f t="shared" si="4"/>
        <v>-125</v>
      </c>
      <c r="J32" s="7">
        <f>'Feb 2014'!J32+C32</f>
        <v>450</v>
      </c>
      <c r="L32" s="7">
        <f>'Feb 2014'!L32+E32</f>
        <v>1125</v>
      </c>
      <c r="N32" s="7">
        <f t="shared" si="5"/>
        <v>-675</v>
      </c>
      <c r="P32" s="3">
        <v>1500</v>
      </c>
    </row>
    <row r="33" spans="1:16" x14ac:dyDescent="0.25">
      <c r="A33" t="s">
        <v>25</v>
      </c>
      <c r="C33" s="3">
        <v>0</v>
      </c>
      <c r="E33" s="3">
        <v>0</v>
      </c>
      <c r="G33" s="3">
        <f t="shared" si="4"/>
        <v>0</v>
      </c>
      <c r="J33" s="7">
        <f>'Feb 2014'!J33+C33</f>
        <v>1829.03</v>
      </c>
      <c r="L33" s="7">
        <f>'Feb 2014'!L33+E33</f>
        <v>1900</v>
      </c>
      <c r="N33" s="7">
        <f t="shared" si="5"/>
        <v>-70.970000000000027</v>
      </c>
      <c r="P33" s="3">
        <v>1900</v>
      </c>
    </row>
    <row r="34" spans="1:16" x14ac:dyDescent="0.25">
      <c r="A34" t="s">
        <v>26</v>
      </c>
      <c r="C34" s="3">
        <v>0</v>
      </c>
      <c r="E34" s="3">
        <f t="shared" si="7"/>
        <v>833.33333333333337</v>
      </c>
      <c r="G34" s="3">
        <f t="shared" si="4"/>
        <v>-833.33333333333337</v>
      </c>
      <c r="J34" s="7">
        <f>'Feb 2014'!J34+C34</f>
        <v>7508.4699999999993</v>
      </c>
      <c r="L34" s="7">
        <f>'Feb 2014'!L34+E34</f>
        <v>7499.9999999999991</v>
      </c>
      <c r="N34" s="7">
        <f t="shared" si="5"/>
        <v>8.4700000000002547</v>
      </c>
      <c r="P34" s="3">
        <v>10000</v>
      </c>
    </row>
    <row r="35" spans="1:16" x14ac:dyDescent="0.25">
      <c r="A35" t="s">
        <v>63</v>
      </c>
      <c r="C35" s="3">
        <v>0</v>
      </c>
      <c r="E35" s="3">
        <v>0</v>
      </c>
      <c r="G35" s="3">
        <f t="shared" si="4"/>
        <v>0</v>
      </c>
      <c r="J35" s="7">
        <f>'Feb 2014'!J35+C35</f>
        <v>950</v>
      </c>
      <c r="L35" s="7">
        <f>'Feb 2014'!L35+E35</f>
        <v>950</v>
      </c>
      <c r="N35" s="7">
        <f t="shared" si="5"/>
        <v>0</v>
      </c>
      <c r="P35" s="3">
        <v>950</v>
      </c>
    </row>
    <row r="36" spans="1:16" x14ac:dyDescent="0.25">
      <c r="A36" t="s">
        <v>27</v>
      </c>
      <c r="G36" s="3" t="s">
        <v>39</v>
      </c>
      <c r="J36" s="7" t="s">
        <v>39</v>
      </c>
      <c r="L36" s="7" t="s">
        <v>39</v>
      </c>
      <c r="N36" s="7" t="s">
        <v>39</v>
      </c>
    </row>
    <row r="37" spans="1:16" x14ac:dyDescent="0.25">
      <c r="A37" t="s">
        <v>28</v>
      </c>
      <c r="C37" s="3">
        <v>150</v>
      </c>
      <c r="E37" s="3">
        <f t="shared" si="7"/>
        <v>50</v>
      </c>
      <c r="G37" s="3">
        <f t="shared" si="4"/>
        <v>100</v>
      </c>
      <c r="J37" s="7">
        <f>'Feb 2014'!J37+C37</f>
        <v>550</v>
      </c>
      <c r="L37" s="7">
        <f>'Feb 2014'!L37+E37</f>
        <v>450</v>
      </c>
      <c r="N37" s="7">
        <f t="shared" si="5"/>
        <v>100</v>
      </c>
      <c r="P37" s="3">
        <v>600</v>
      </c>
    </row>
    <row r="38" spans="1:16" x14ac:dyDescent="0.25">
      <c r="A38" t="s">
        <v>37</v>
      </c>
      <c r="C38" s="3">
        <v>0</v>
      </c>
      <c r="E38" s="3">
        <v>0</v>
      </c>
      <c r="G38" s="3">
        <f t="shared" si="4"/>
        <v>0</v>
      </c>
      <c r="J38" s="7">
        <f>'Feb 2014'!J38+C38</f>
        <v>238</v>
      </c>
      <c r="L38" s="7">
        <f>'Feb 2014'!L38+E38</f>
        <v>212.5</v>
      </c>
      <c r="N38" s="7">
        <f t="shared" si="5"/>
        <v>25.5</v>
      </c>
      <c r="P38" s="3">
        <v>425</v>
      </c>
    </row>
    <row r="39" spans="1:16" x14ac:dyDescent="0.25">
      <c r="A39" t="s">
        <v>29</v>
      </c>
      <c r="C39" s="3">
        <v>0</v>
      </c>
      <c r="E39" s="3">
        <v>0</v>
      </c>
      <c r="G39" s="3">
        <f t="shared" si="4"/>
        <v>0</v>
      </c>
      <c r="J39" s="7">
        <f>'Feb 2014'!J39+C39</f>
        <v>101.8</v>
      </c>
      <c r="L39" s="7">
        <f>'Feb 2014'!L39+E39</f>
        <v>102</v>
      </c>
      <c r="N39" s="7">
        <f t="shared" si="5"/>
        <v>-0.20000000000000284</v>
      </c>
      <c r="P39" s="3">
        <v>102</v>
      </c>
    </row>
    <row r="40" spans="1:16" x14ac:dyDescent="0.25">
      <c r="A40" t="s">
        <v>30</v>
      </c>
      <c r="C40" s="3">
        <v>0</v>
      </c>
      <c r="E40" s="3">
        <v>0</v>
      </c>
      <c r="G40" s="3">
        <f t="shared" si="4"/>
        <v>0</v>
      </c>
      <c r="J40" s="7">
        <f>'Feb 2014'!J40+C40</f>
        <v>13.36</v>
      </c>
      <c r="L40" s="7">
        <f>'Feb 2014'!L40+E40</f>
        <v>0</v>
      </c>
      <c r="N40" s="7">
        <f t="shared" si="5"/>
        <v>13.36</v>
      </c>
      <c r="P40" s="3">
        <v>200</v>
      </c>
    </row>
    <row r="41" spans="1:16" x14ac:dyDescent="0.25">
      <c r="A41" t="s">
        <v>31</v>
      </c>
      <c r="C41" s="3">
        <v>0</v>
      </c>
      <c r="E41" s="3">
        <v>0</v>
      </c>
      <c r="G41" s="3">
        <f t="shared" si="4"/>
        <v>0</v>
      </c>
      <c r="J41" s="7">
        <f>'Feb 2014'!J41+C41</f>
        <v>0</v>
      </c>
      <c r="L41" s="7">
        <f>'Feb 2014'!L41+E41</f>
        <v>0</v>
      </c>
      <c r="N41" s="7">
        <f t="shared" si="5"/>
        <v>0</v>
      </c>
      <c r="P41" s="3">
        <v>250</v>
      </c>
    </row>
    <row r="42" spans="1:16" x14ac:dyDescent="0.25">
      <c r="A42" t="s">
        <v>46</v>
      </c>
      <c r="C42" s="3">
        <v>0</v>
      </c>
      <c r="E42" s="3">
        <f t="shared" si="7"/>
        <v>41.666666666666664</v>
      </c>
      <c r="G42" s="3">
        <f t="shared" si="4"/>
        <v>-41.666666666666664</v>
      </c>
      <c r="J42" s="7">
        <f>'Feb 2014'!J42+C42</f>
        <v>125</v>
      </c>
      <c r="L42" s="7">
        <f>'Feb 2014'!L42+E42</f>
        <v>333.33333333333331</v>
      </c>
      <c r="N42" s="7">
        <f t="shared" si="5"/>
        <v>-208.33333333333331</v>
      </c>
      <c r="P42" s="3">
        <v>500</v>
      </c>
    </row>
    <row r="43" spans="1:16" x14ac:dyDescent="0.25">
      <c r="A43" t="s">
        <v>32</v>
      </c>
      <c r="C43" s="3">
        <f>331.49+357.14+352.26</f>
        <v>1040.8899999999999</v>
      </c>
      <c r="E43" s="3">
        <f t="shared" si="7"/>
        <v>83.333333333333329</v>
      </c>
      <c r="G43" s="3">
        <f t="shared" si="4"/>
        <v>957.5566666666665</v>
      </c>
      <c r="J43" s="7">
        <f>'Feb 2014'!J43+C43-1040.89</f>
        <v>604.01999999999975</v>
      </c>
      <c r="L43" s="7">
        <f>'Feb 2014'!L43+E43</f>
        <v>666.66666666666663</v>
      </c>
      <c r="N43" s="7">
        <f t="shared" si="5"/>
        <v>-62.646666666666874</v>
      </c>
      <c r="P43" s="3">
        <v>1000</v>
      </c>
    </row>
    <row r="45" spans="1:16" x14ac:dyDescent="0.25">
      <c r="A45" s="1" t="s">
        <v>33</v>
      </c>
      <c r="C45" s="3">
        <f>SUM(C17:C43)</f>
        <v>7951.7800000000007</v>
      </c>
      <c r="E45" s="3">
        <f>SUM(E17:E43)</f>
        <v>9173.3333333333321</v>
      </c>
      <c r="G45" s="4">
        <f>SUM(G17:G43)</f>
        <v>-1221.5533333333337</v>
      </c>
      <c r="J45" s="3">
        <f>SUM(J17:J43)</f>
        <v>60638.559999999998</v>
      </c>
      <c r="L45" s="3">
        <f>SUM(L17:L43)</f>
        <v>69167.5</v>
      </c>
      <c r="N45" s="4">
        <f>SUM(N17:N43)</f>
        <v>-8528.94</v>
      </c>
      <c r="P45" s="3">
        <f>SUM(P17:P43)</f>
        <v>91925</v>
      </c>
    </row>
    <row r="48" spans="1:16" x14ac:dyDescent="0.25">
      <c r="A48" t="s">
        <v>70</v>
      </c>
    </row>
    <row r="49" spans="1:1" x14ac:dyDescent="0.25">
      <c r="A49" t="s">
        <v>71</v>
      </c>
    </row>
  </sheetData>
  <pageMargins left="0" right="0" top="0" bottom="0" header="0.3" footer="0.3"/>
  <pageSetup scale="8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July 2013</vt:lpstr>
      <vt:lpstr>August 2013</vt:lpstr>
      <vt:lpstr>Sept 2013</vt:lpstr>
      <vt:lpstr>Oct 2013</vt:lpstr>
      <vt:lpstr>Nov 2013</vt:lpstr>
      <vt:lpstr>Dec 2013</vt:lpstr>
      <vt:lpstr>Jan 2014</vt:lpstr>
      <vt:lpstr>Feb 2014</vt:lpstr>
      <vt:lpstr>March 2014</vt:lpstr>
      <vt:lpstr>April 2014</vt:lpstr>
      <vt:lpstr>May 2014</vt:lpstr>
      <vt:lpstr>June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SallyDuane</dc:creator>
  <cp:lastModifiedBy>SallyDuane</cp:lastModifiedBy>
  <cp:lastPrinted>2014-07-17T00:25:08Z</cp:lastPrinted>
  <dcterms:created xsi:type="dcterms:W3CDTF">2013-08-08T16:17:32Z</dcterms:created>
  <dcterms:modified xsi:type="dcterms:W3CDTF">2014-07-17T00:27:25Z</dcterms:modified>
</cp:coreProperties>
</file>