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Duane\Documents\Joe\Bellewood files\"/>
    </mc:Choice>
  </mc:AlternateContent>
  <bookViews>
    <workbookView xWindow="240" yWindow="75" windowWidth="20115" windowHeight="7995" firstSheet="3" activeTab="11"/>
  </bookViews>
  <sheets>
    <sheet name="July 2012" sheetId="1" r:id="rId1"/>
    <sheet name="Aug 2012" sheetId="2" r:id="rId2"/>
    <sheet name="Sept 2012" sheetId="3" r:id="rId3"/>
    <sheet name="Oct 2012" sheetId="5" r:id="rId4"/>
    <sheet name="Nov 2012" sheetId="6" r:id="rId5"/>
    <sheet name="Dec 2012" sheetId="7" r:id="rId6"/>
    <sheet name="Jan 2013" sheetId="8" r:id="rId7"/>
    <sheet name="Feb 2013" sheetId="9" r:id="rId8"/>
    <sheet name="March 2013" sheetId="10" r:id="rId9"/>
    <sheet name="April 2013" sheetId="11" r:id="rId10"/>
    <sheet name="May 2013" sheetId="12" r:id="rId11"/>
    <sheet name="June 2013" sheetId="4" r:id="rId12"/>
  </sheets>
  <calcPr calcId="152511"/>
</workbook>
</file>

<file path=xl/calcChain.xml><?xml version="1.0" encoding="utf-8"?>
<calcChain xmlns="http://schemas.openxmlformats.org/spreadsheetml/2006/main">
  <c r="E40" i="7" l="1"/>
  <c r="E40" i="8"/>
  <c r="E19" i="4"/>
  <c r="E19" i="10"/>
  <c r="E19" i="7"/>
  <c r="E19" i="3"/>
  <c r="E26" i="4"/>
  <c r="E38" i="4"/>
  <c r="E31" i="4"/>
  <c r="E30" i="10"/>
  <c r="E30" i="7"/>
  <c r="E29" i="4"/>
  <c r="E18" i="4"/>
  <c r="C18" i="4"/>
  <c r="C7" i="4"/>
  <c r="K42" i="4"/>
  <c r="K41" i="4"/>
  <c r="K39" i="4"/>
  <c r="K38" i="4"/>
  <c r="K37" i="4"/>
  <c r="K33" i="4"/>
  <c r="K32" i="4"/>
  <c r="K31" i="4"/>
  <c r="K29" i="4"/>
  <c r="M28" i="4"/>
  <c r="K27" i="4"/>
  <c r="K26" i="4"/>
  <c r="M26" i="4" s="1"/>
  <c r="K24" i="4"/>
  <c r="K23" i="4"/>
  <c r="K22" i="4"/>
  <c r="K21" i="4"/>
  <c r="K20" i="4"/>
  <c r="K18" i="4"/>
  <c r="K17" i="4"/>
  <c r="K16" i="4"/>
  <c r="I42" i="4"/>
  <c r="I41" i="4"/>
  <c r="M41" i="4" s="1"/>
  <c r="I40" i="4"/>
  <c r="I39" i="4"/>
  <c r="M39" i="4" s="1"/>
  <c r="I38" i="4"/>
  <c r="M38" i="4" s="1"/>
  <c r="I37" i="4"/>
  <c r="I35" i="4"/>
  <c r="I34" i="4"/>
  <c r="I33" i="4"/>
  <c r="I32" i="4"/>
  <c r="I31" i="4"/>
  <c r="M31" i="4" s="1"/>
  <c r="I30" i="4"/>
  <c r="I29" i="4"/>
  <c r="I28" i="4"/>
  <c r="I27" i="4"/>
  <c r="M27" i="4" s="1"/>
  <c r="I26" i="4"/>
  <c r="I25" i="4"/>
  <c r="M25" i="4" s="1"/>
  <c r="I24" i="4"/>
  <c r="I23" i="4"/>
  <c r="M23" i="4" s="1"/>
  <c r="I22" i="4"/>
  <c r="I21" i="4"/>
  <c r="I20" i="4"/>
  <c r="I19" i="4"/>
  <c r="I18" i="4"/>
  <c r="M18" i="4" s="1"/>
  <c r="I17" i="4"/>
  <c r="M17" i="4" s="1"/>
  <c r="I16" i="4"/>
  <c r="K9" i="4"/>
  <c r="M9" i="4" s="1"/>
  <c r="K8" i="4"/>
  <c r="K7" i="4"/>
  <c r="K6" i="4"/>
  <c r="K5" i="4"/>
  <c r="K11" i="4" s="1"/>
  <c r="K49" i="4" s="1"/>
  <c r="I9" i="4"/>
  <c r="I8" i="4"/>
  <c r="I7" i="4"/>
  <c r="I6" i="4"/>
  <c r="I5" i="4"/>
  <c r="O44" i="4"/>
  <c r="O50" i="4" s="1"/>
  <c r="C44" i="4"/>
  <c r="C50" i="4" s="1"/>
  <c r="M42" i="4"/>
  <c r="G42" i="4"/>
  <c r="E42" i="4"/>
  <c r="G41" i="4"/>
  <c r="G40" i="4"/>
  <c r="G39" i="4"/>
  <c r="G38" i="4"/>
  <c r="E37" i="4"/>
  <c r="M35" i="4"/>
  <c r="G35" i="4"/>
  <c r="M34" i="4"/>
  <c r="G34" i="4"/>
  <c r="M33" i="4"/>
  <c r="G33" i="4"/>
  <c r="M32" i="4"/>
  <c r="G32" i="4"/>
  <c r="E32" i="4"/>
  <c r="G31" i="4"/>
  <c r="G30" i="4"/>
  <c r="G29" i="4"/>
  <c r="G28" i="4"/>
  <c r="G27" i="4"/>
  <c r="G26" i="4"/>
  <c r="G25" i="4"/>
  <c r="G24" i="4"/>
  <c r="G23" i="4"/>
  <c r="M22" i="4"/>
  <c r="G22" i="4"/>
  <c r="M21" i="4"/>
  <c r="E21" i="4"/>
  <c r="M20" i="4"/>
  <c r="G20" i="4"/>
  <c r="E20" i="4"/>
  <c r="G19" i="4"/>
  <c r="G18" i="4"/>
  <c r="G17" i="4"/>
  <c r="E16" i="4"/>
  <c r="E44" i="4" s="1"/>
  <c r="E50" i="4" s="1"/>
  <c r="O11" i="4"/>
  <c r="O49" i="4" s="1"/>
  <c r="O52" i="4" s="1"/>
  <c r="E9" i="4"/>
  <c r="M8" i="4"/>
  <c r="G8" i="4"/>
  <c r="E7" i="4"/>
  <c r="C11" i="4"/>
  <c r="C49" i="4" s="1"/>
  <c r="M6" i="4"/>
  <c r="G6" i="4"/>
  <c r="E6" i="4"/>
  <c r="G5" i="4"/>
  <c r="M29" i="4" l="1"/>
  <c r="M24" i="4"/>
  <c r="I44" i="4"/>
  <c r="I50" i="4" s="1"/>
  <c r="C52" i="4"/>
  <c r="M37" i="4"/>
  <c r="M5" i="4"/>
  <c r="G7" i="4"/>
  <c r="G11" i="4" s="1"/>
  <c r="G49" i="4" s="1"/>
  <c r="E11" i="4"/>
  <c r="E49" i="4" s="1"/>
  <c r="E52" i="4" s="1"/>
  <c r="M7" i="4"/>
  <c r="G9" i="4"/>
  <c r="G16" i="4"/>
  <c r="G21" i="4"/>
  <c r="G37" i="4"/>
  <c r="K42" i="12"/>
  <c r="K41" i="12"/>
  <c r="K39" i="12"/>
  <c r="K38" i="12"/>
  <c r="K37" i="12"/>
  <c r="K35" i="12"/>
  <c r="K34" i="12"/>
  <c r="K33" i="12"/>
  <c r="K32" i="12"/>
  <c r="M32" i="12" s="1"/>
  <c r="K31" i="12"/>
  <c r="K29" i="12"/>
  <c r="K28" i="12"/>
  <c r="K27" i="12"/>
  <c r="K26" i="12"/>
  <c r="K25" i="12"/>
  <c r="K24" i="12"/>
  <c r="K23" i="12"/>
  <c r="K22" i="12"/>
  <c r="M22" i="12" s="1"/>
  <c r="K21" i="12"/>
  <c r="K20" i="12"/>
  <c r="K18" i="12"/>
  <c r="M18" i="12" s="1"/>
  <c r="K17" i="12"/>
  <c r="K16" i="12"/>
  <c r="I42" i="12"/>
  <c r="I41" i="12"/>
  <c r="I40" i="12"/>
  <c r="I39" i="12"/>
  <c r="I38" i="12"/>
  <c r="I37" i="12"/>
  <c r="M37" i="12" s="1"/>
  <c r="I35" i="12"/>
  <c r="I34" i="12"/>
  <c r="I33" i="12"/>
  <c r="I32" i="12"/>
  <c r="I31" i="12"/>
  <c r="M31" i="12" s="1"/>
  <c r="I30" i="12"/>
  <c r="I29" i="12"/>
  <c r="M29" i="12" s="1"/>
  <c r="I28" i="12"/>
  <c r="I27" i="12"/>
  <c r="M27" i="12" s="1"/>
  <c r="I26" i="12"/>
  <c r="I25" i="12"/>
  <c r="M25" i="12" s="1"/>
  <c r="I24" i="12"/>
  <c r="I23" i="12"/>
  <c r="M23" i="12" s="1"/>
  <c r="I22" i="12"/>
  <c r="I21" i="12"/>
  <c r="I20" i="12"/>
  <c r="M20" i="12" s="1"/>
  <c r="I19" i="12"/>
  <c r="I18" i="12"/>
  <c r="I17" i="12"/>
  <c r="I16" i="12"/>
  <c r="K9" i="12"/>
  <c r="K8" i="12"/>
  <c r="K7" i="12"/>
  <c r="K6" i="12"/>
  <c r="K5" i="12"/>
  <c r="I9" i="12"/>
  <c r="I8" i="12"/>
  <c r="I7" i="12"/>
  <c r="I6" i="12"/>
  <c r="I5" i="12"/>
  <c r="C7" i="12"/>
  <c r="O44" i="12"/>
  <c r="O50" i="12" s="1"/>
  <c r="C44" i="12"/>
  <c r="C50" i="12" s="1"/>
  <c r="G42" i="12"/>
  <c r="E42" i="12"/>
  <c r="M41" i="12"/>
  <c r="G41" i="12"/>
  <c r="G40" i="12"/>
  <c r="M39" i="12"/>
  <c r="G39" i="12"/>
  <c r="M38" i="12"/>
  <c r="G38" i="12"/>
  <c r="E37" i="12"/>
  <c r="M35" i="12"/>
  <c r="G35" i="12"/>
  <c r="G34" i="12"/>
  <c r="M33" i="12"/>
  <c r="G33" i="12"/>
  <c r="G32" i="12"/>
  <c r="E32" i="12"/>
  <c r="G31" i="12"/>
  <c r="G30" i="12"/>
  <c r="G29" i="12"/>
  <c r="M28" i="12"/>
  <c r="G28" i="12"/>
  <c r="G27" i="12"/>
  <c r="G26" i="12"/>
  <c r="G25" i="12"/>
  <c r="M24" i="12"/>
  <c r="G24" i="12"/>
  <c r="G23" i="12"/>
  <c r="G22" i="12"/>
  <c r="E21" i="12"/>
  <c r="G20" i="12"/>
  <c r="E20" i="12"/>
  <c r="G19" i="12"/>
  <c r="G18" i="12"/>
  <c r="M17" i="12"/>
  <c r="G17" i="12"/>
  <c r="E16" i="12"/>
  <c r="E44" i="12" s="1"/>
  <c r="E50" i="12" s="1"/>
  <c r="O11" i="12"/>
  <c r="O49" i="12" s="1"/>
  <c r="O52" i="12" s="1"/>
  <c r="E9" i="12"/>
  <c r="G8" i="12"/>
  <c r="E7" i="12"/>
  <c r="G7" i="12"/>
  <c r="E6" i="12"/>
  <c r="K11" i="12"/>
  <c r="K49" i="12" s="1"/>
  <c r="G5" i="12"/>
  <c r="C11" i="12"/>
  <c r="C49" i="12" s="1"/>
  <c r="G44" i="4" l="1"/>
  <c r="G50" i="4" s="1"/>
  <c r="G52" i="4" s="1"/>
  <c r="M11" i="4"/>
  <c r="M49" i="4" s="1"/>
  <c r="M16" i="4"/>
  <c r="I11" i="4"/>
  <c r="I49" i="4" s="1"/>
  <c r="I52" i="4" s="1"/>
  <c r="M42" i="12"/>
  <c r="C52" i="12"/>
  <c r="M34" i="12"/>
  <c r="M26" i="12"/>
  <c r="I44" i="12"/>
  <c r="I50" i="12" s="1"/>
  <c r="M6" i="12"/>
  <c r="M8" i="12"/>
  <c r="M7" i="12"/>
  <c r="M9" i="12"/>
  <c r="M21" i="12"/>
  <c r="E11" i="12"/>
  <c r="E49" i="12" s="1"/>
  <c r="E52" i="12" s="1"/>
  <c r="M16" i="12"/>
  <c r="G6" i="12"/>
  <c r="G11" i="12" s="1"/>
  <c r="G49" i="12" s="1"/>
  <c r="G9" i="12"/>
  <c r="G16" i="12"/>
  <c r="G21" i="12"/>
  <c r="G37" i="12"/>
  <c r="E8" i="11"/>
  <c r="C7" i="11"/>
  <c r="C5" i="11"/>
  <c r="O44" i="11"/>
  <c r="O50" i="11" s="1"/>
  <c r="E42" i="11"/>
  <c r="G41" i="11"/>
  <c r="G40" i="11"/>
  <c r="G39" i="11"/>
  <c r="G38" i="11"/>
  <c r="E37" i="11"/>
  <c r="G35" i="11"/>
  <c r="G34" i="11"/>
  <c r="G33" i="11"/>
  <c r="G32" i="11"/>
  <c r="E32" i="11"/>
  <c r="G30" i="11"/>
  <c r="G29" i="11"/>
  <c r="G28" i="11"/>
  <c r="G26" i="11"/>
  <c r="G25" i="11"/>
  <c r="G24" i="11"/>
  <c r="G23" i="11"/>
  <c r="G22" i="11"/>
  <c r="E21" i="11"/>
  <c r="E20" i="11"/>
  <c r="G20" i="11" s="1"/>
  <c r="G19" i="11"/>
  <c r="G17" i="11"/>
  <c r="G16" i="11"/>
  <c r="E16" i="11"/>
  <c r="O11" i="11"/>
  <c r="O49" i="11" s="1"/>
  <c r="O52" i="11" s="1"/>
  <c r="G9" i="11"/>
  <c r="E9" i="11"/>
  <c r="E7" i="11"/>
  <c r="G7" i="11"/>
  <c r="E6" i="11"/>
  <c r="E11" i="11" s="1"/>
  <c r="E49" i="11" s="1"/>
  <c r="G5" i="11"/>
  <c r="G44" i="12" l="1"/>
  <c r="G50" i="12" s="1"/>
  <c r="G52" i="12" s="1"/>
  <c r="M5" i="12"/>
  <c r="M11" i="12" s="1"/>
  <c r="M49" i="12" s="1"/>
  <c r="I11" i="12"/>
  <c r="I49" i="12" s="1"/>
  <c r="I52" i="12" s="1"/>
  <c r="E44" i="11"/>
  <c r="E50" i="11" s="1"/>
  <c r="E52" i="11" s="1"/>
  <c r="G8" i="11"/>
  <c r="C11" i="11"/>
  <c r="C49" i="11" s="1"/>
  <c r="G6" i="11"/>
  <c r="G18" i="11"/>
  <c r="G21" i="11"/>
  <c r="G27" i="11"/>
  <c r="G31" i="11"/>
  <c r="G37" i="11"/>
  <c r="G42" i="11"/>
  <c r="C44" i="11"/>
  <c r="C50" i="11" s="1"/>
  <c r="C52" i="11" s="1"/>
  <c r="E40" i="10"/>
  <c r="E31" i="10"/>
  <c r="E29" i="10"/>
  <c r="E26" i="10"/>
  <c r="G44" i="11" l="1"/>
  <c r="G50" i="11" s="1"/>
  <c r="G11" i="11"/>
  <c r="G49" i="11" s="1"/>
  <c r="C18" i="10"/>
  <c r="C7" i="10"/>
  <c r="O44" i="10"/>
  <c r="O50" i="10" s="1"/>
  <c r="E42" i="10"/>
  <c r="G41" i="10"/>
  <c r="G40" i="10"/>
  <c r="G39" i="10"/>
  <c r="G38" i="10"/>
  <c r="G37" i="10"/>
  <c r="E37" i="10"/>
  <c r="G35" i="10"/>
  <c r="G34" i="10"/>
  <c r="G33" i="10"/>
  <c r="E32" i="10"/>
  <c r="G31" i="10"/>
  <c r="G30" i="10"/>
  <c r="G29" i="10"/>
  <c r="G28" i="10"/>
  <c r="E27" i="10"/>
  <c r="G26" i="10"/>
  <c r="G25" i="10"/>
  <c r="G24" i="10"/>
  <c r="G23" i="10"/>
  <c r="G22" i="10"/>
  <c r="G21" i="10"/>
  <c r="E21" i="10"/>
  <c r="E20" i="10"/>
  <c r="G19" i="10"/>
  <c r="G18" i="10"/>
  <c r="G17" i="10"/>
  <c r="G16" i="10"/>
  <c r="E16" i="10"/>
  <c r="E44" i="10" s="1"/>
  <c r="E50" i="10" s="1"/>
  <c r="O11" i="10"/>
  <c r="O49" i="10" s="1"/>
  <c r="O52" i="10" s="1"/>
  <c r="C11" i="10"/>
  <c r="C49" i="10" s="1"/>
  <c r="E9" i="10"/>
  <c r="G9" i="10" s="1"/>
  <c r="G8" i="10"/>
  <c r="E7" i="10"/>
  <c r="G7" i="10" s="1"/>
  <c r="E6" i="10"/>
  <c r="E11" i="10" s="1"/>
  <c r="E49" i="10" s="1"/>
  <c r="G5" i="10"/>
  <c r="G52" i="11" l="1"/>
  <c r="E52" i="10"/>
  <c r="G27" i="10"/>
  <c r="G42" i="10"/>
  <c r="C44" i="10"/>
  <c r="C50" i="10" s="1"/>
  <c r="C52" i="10" s="1"/>
  <c r="G6" i="10"/>
  <c r="G11" i="10" s="1"/>
  <c r="G49" i="10" s="1"/>
  <c r="G20" i="10"/>
  <c r="G44" i="10" s="1"/>
  <c r="G50" i="10" s="1"/>
  <c r="G32" i="10"/>
  <c r="C42" i="9"/>
  <c r="C27" i="9"/>
  <c r="C7" i="9"/>
  <c r="C5" i="9"/>
  <c r="G52" i="10" l="1"/>
  <c r="O44" i="9"/>
  <c r="O50" i="9" s="1"/>
  <c r="E42" i="9"/>
  <c r="G42" i="9" s="1"/>
  <c r="G41" i="9"/>
  <c r="G40" i="9"/>
  <c r="G39" i="9"/>
  <c r="G38" i="9"/>
  <c r="E37" i="9"/>
  <c r="G35" i="9"/>
  <c r="G34" i="9"/>
  <c r="G33" i="9"/>
  <c r="E32" i="9"/>
  <c r="G32" i="9" s="1"/>
  <c r="G31" i="9"/>
  <c r="G30" i="9"/>
  <c r="G28" i="9"/>
  <c r="E27" i="9"/>
  <c r="G27" i="9" s="1"/>
  <c r="G26" i="9"/>
  <c r="G25" i="9"/>
  <c r="G24" i="9"/>
  <c r="C44" i="9"/>
  <c r="C50" i="9" s="1"/>
  <c r="G23" i="9"/>
  <c r="G22" i="9"/>
  <c r="E21" i="9"/>
  <c r="E20" i="9"/>
  <c r="G20" i="9" s="1"/>
  <c r="G19" i="9"/>
  <c r="G18" i="9"/>
  <c r="G17" i="9"/>
  <c r="E16" i="9"/>
  <c r="O11" i="9"/>
  <c r="O49" i="9" s="1"/>
  <c r="O52" i="9" s="1"/>
  <c r="E9" i="9"/>
  <c r="G8" i="9"/>
  <c r="E7" i="9"/>
  <c r="G7" i="9" s="1"/>
  <c r="G6" i="9"/>
  <c r="E6" i="9"/>
  <c r="E11" i="9" l="1"/>
  <c r="E49" i="9" s="1"/>
  <c r="E44" i="9"/>
  <c r="E50" i="9" s="1"/>
  <c r="E52" i="9"/>
  <c r="G5" i="9"/>
  <c r="G11" i="9" s="1"/>
  <c r="G49" i="9" s="1"/>
  <c r="G9" i="9"/>
  <c r="C11" i="9"/>
  <c r="C49" i="9" s="1"/>
  <c r="C52" i="9" s="1"/>
  <c r="G16" i="9"/>
  <c r="G21" i="9"/>
  <c r="G29" i="9"/>
  <c r="G37" i="9"/>
  <c r="C42" i="8"/>
  <c r="C29" i="8"/>
  <c r="C24" i="8"/>
  <c r="C27" i="8"/>
  <c r="C8" i="8"/>
  <c r="G8" i="8" s="1"/>
  <c r="C7" i="8"/>
  <c r="C5" i="8"/>
  <c r="C11" i="8" s="1"/>
  <c r="C49" i="8" s="1"/>
  <c r="E8" i="8"/>
  <c r="O44" i="8"/>
  <c r="O50" i="8" s="1"/>
  <c r="E42" i="8"/>
  <c r="G41" i="8"/>
  <c r="G40" i="8"/>
  <c r="G39" i="8"/>
  <c r="G38" i="8"/>
  <c r="E37" i="8"/>
  <c r="G35" i="8"/>
  <c r="G34" i="8"/>
  <c r="G33" i="8"/>
  <c r="G32" i="8"/>
  <c r="E32" i="8"/>
  <c r="G30" i="8"/>
  <c r="G28" i="8"/>
  <c r="E27" i="8"/>
  <c r="G26" i="8"/>
  <c r="G25" i="8"/>
  <c r="G24" i="8"/>
  <c r="G23" i="8"/>
  <c r="G22" i="8"/>
  <c r="E21" i="8"/>
  <c r="G20" i="8"/>
  <c r="E20" i="8"/>
  <c r="G17" i="8"/>
  <c r="G16" i="8"/>
  <c r="E16" i="8"/>
  <c r="O11" i="8"/>
  <c r="O49" i="8" s="1"/>
  <c r="O52" i="8" s="1"/>
  <c r="E9" i="8"/>
  <c r="G9" i="8" s="1"/>
  <c r="E7" i="8"/>
  <c r="G7" i="8"/>
  <c r="E6" i="8"/>
  <c r="E44" i="8" l="1"/>
  <c r="E50" i="8" s="1"/>
  <c r="G44" i="9"/>
  <c r="G50" i="9" s="1"/>
  <c r="G52" i="9" s="1"/>
  <c r="G29" i="8"/>
  <c r="E11" i="8"/>
  <c r="E49" i="8" s="1"/>
  <c r="G5" i="8"/>
  <c r="G18" i="8"/>
  <c r="G42" i="8"/>
  <c r="C44" i="8"/>
  <c r="C50" i="8" s="1"/>
  <c r="C52" i="8" s="1"/>
  <c r="G6" i="8"/>
  <c r="G19" i="8"/>
  <c r="G21" i="8"/>
  <c r="G27" i="8"/>
  <c r="G31" i="8"/>
  <c r="G37" i="8"/>
  <c r="G40" i="7"/>
  <c r="E31" i="7"/>
  <c r="G31" i="7" s="1"/>
  <c r="C42" i="7"/>
  <c r="E29" i="7"/>
  <c r="E27" i="7"/>
  <c r="G27" i="7" s="1"/>
  <c r="E26" i="7"/>
  <c r="G26" i="7" s="1"/>
  <c r="E18" i="7"/>
  <c r="C18" i="7"/>
  <c r="C7" i="7"/>
  <c r="O44" i="7"/>
  <c r="O50" i="7" s="1"/>
  <c r="E42" i="7"/>
  <c r="G41" i="7"/>
  <c r="G39" i="7"/>
  <c r="G38" i="7"/>
  <c r="G37" i="7"/>
  <c r="E37" i="7"/>
  <c r="G35" i="7"/>
  <c r="G34" i="7"/>
  <c r="G33" i="7"/>
  <c r="E32" i="7"/>
  <c r="G30" i="7"/>
  <c r="G29" i="7"/>
  <c r="G28" i="7"/>
  <c r="G25" i="7"/>
  <c r="G24" i="7"/>
  <c r="G23" i="7"/>
  <c r="G22" i="7"/>
  <c r="G21" i="7"/>
  <c r="E21" i="7"/>
  <c r="E20" i="7"/>
  <c r="G19" i="7"/>
  <c r="G18" i="7"/>
  <c r="G17" i="7"/>
  <c r="G16" i="7"/>
  <c r="E16" i="7"/>
  <c r="O11" i="7"/>
  <c r="O49" i="7" s="1"/>
  <c r="O52" i="7" s="1"/>
  <c r="G9" i="7"/>
  <c r="E9" i="7"/>
  <c r="G8" i="7"/>
  <c r="E7" i="7"/>
  <c r="C11" i="7"/>
  <c r="C49" i="7" s="1"/>
  <c r="G6" i="7"/>
  <c r="E6" i="7"/>
  <c r="E11" i="7" s="1"/>
  <c r="E49" i="7" s="1"/>
  <c r="G5" i="7"/>
  <c r="E52" i="8" l="1"/>
  <c r="G44" i="8"/>
  <c r="G50" i="8" s="1"/>
  <c r="G11" i="8"/>
  <c r="G49" i="8" s="1"/>
  <c r="C44" i="7"/>
  <c r="C50" i="7" s="1"/>
  <c r="C52" i="7" s="1"/>
  <c r="E44" i="7"/>
  <c r="E50" i="7" s="1"/>
  <c r="E52" i="7" s="1"/>
  <c r="G7" i="7"/>
  <c r="G11" i="7" s="1"/>
  <c r="G49" i="7" s="1"/>
  <c r="G20" i="7"/>
  <c r="G32" i="7"/>
  <c r="G42" i="7"/>
  <c r="C8" i="6"/>
  <c r="C7" i="6"/>
  <c r="G44" i="7" l="1"/>
  <c r="G50" i="7" s="1"/>
  <c r="G52" i="8"/>
  <c r="G52" i="7"/>
  <c r="E6" i="6"/>
  <c r="O44" i="6"/>
  <c r="O50" i="6" s="1"/>
  <c r="C44" i="6"/>
  <c r="C50" i="6" s="1"/>
  <c r="E42" i="6"/>
  <c r="G41" i="6"/>
  <c r="G40" i="6"/>
  <c r="G39" i="6"/>
  <c r="E37" i="6"/>
  <c r="G37" i="6" s="1"/>
  <c r="G35" i="6"/>
  <c r="G34" i="6"/>
  <c r="G33" i="6"/>
  <c r="E32" i="6"/>
  <c r="G31" i="6"/>
  <c r="G29" i="6"/>
  <c r="G28" i="6"/>
  <c r="G27" i="6"/>
  <c r="G26" i="6"/>
  <c r="G25" i="6"/>
  <c r="G24" i="6"/>
  <c r="G23" i="6"/>
  <c r="G22" i="6"/>
  <c r="E21" i="6"/>
  <c r="G20" i="6"/>
  <c r="E20" i="6"/>
  <c r="G18" i="6"/>
  <c r="G17" i="6"/>
  <c r="G16" i="6"/>
  <c r="E16" i="6"/>
  <c r="O11" i="6"/>
  <c r="O49" i="6" s="1"/>
  <c r="O52" i="6" s="1"/>
  <c r="G9" i="6"/>
  <c r="E9" i="6"/>
  <c r="G8" i="6"/>
  <c r="E7" i="6"/>
  <c r="G7" i="6" s="1"/>
  <c r="E11" i="6"/>
  <c r="E49" i="6" s="1"/>
  <c r="C11" i="6"/>
  <c r="C49" i="6" s="1"/>
  <c r="C52" i="6" s="1"/>
  <c r="G5" i="6"/>
  <c r="E44" i="6" l="1"/>
  <c r="E50" i="6" s="1"/>
  <c r="E52" i="6"/>
  <c r="G6" i="6"/>
  <c r="G11" i="6" s="1"/>
  <c r="G49" i="6" s="1"/>
  <c r="G19" i="6"/>
  <c r="G21" i="6"/>
  <c r="G30" i="6"/>
  <c r="G32" i="6"/>
  <c r="G38" i="6"/>
  <c r="G42" i="6"/>
  <c r="O50" i="5"/>
  <c r="E38" i="5"/>
  <c r="E38" i="3"/>
  <c r="E32" i="3"/>
  <c r="E30" i="1"/>
  <c r="E31" i="5"/>
  <c r="G31" i="5" s="1"/>
  <c r="E40" i="5"/>
  <c r="E29" i="5"/>
  <c r="G29" i="5" s="1"/>
  <c r="G19" i="5"/>
  <c r="E8" i="5"/>
  <c r="G8" i="5" s="1"/>
  <c r="C8" i="5"/>
  <c r="C7" i="5"/>
  <c r="G7" i="5" s="1"/>
  <c r="E6" i="5"/>
  <c r="C6" i="5"/>
  <c r="O44" i="5"/>
  <c r="E42" i="5"/>
  <c r="G42" i="5" s="1"/>
  <c r="G41" i="5"/>
  <c r="G39" i="5"/>
  <c r="G37" i="5"/>
  <c r="E37" i="5"/>
  <c r="G35" i="5"/>
  <c r="G34" i="5"/>
  <c r="G33" i="5"/>
  <c r="E32" i="5"/>
  <c r="E30" i="5"/>
  <c r="G30" i="5" s="1"/>
  <c r="G28" i="5"/>
  <c r="G27" i="5"/>
  <c r="G26" i="5"/>
  <c r="G25" i="5"/>
  <c r="G24" i="5"/>
  <c r="G23" i="5"/>
  <c r="G22" i="5"/>
  <c r="E21" i="5"/>
  <c r="G20" i="5"/>
  <c r="E20" i="5"/>
  <c r="C44" i="5"/>
  <c r="C50" i="5" s="1"/>
  <c r="G17" i="5"/>
  <c r="E16" i="5"/>
  <c r="O11" i="5"/>
  <c r="O49" i="5" s="1"/>
  <c r="O52" i="5" s="1"/>
  <c r="E9" i="5"/>
  <c r="E7" i="5"/>
  <c r="E11" i="5"/>
  <c r="E49" i="5" s="1"/>
  <c r="G5" i="5"/>
  <c r="E44" i="5" l="1"/>
  <c r="E50" i="5" s="1"/>
  <c r="G44" i="6"/>
  <c r="G50" i="6" s="1"/>
  <c r="G52" i="6" s="1"/>
  <c r="G40" i="5"/>
  <c r="E52" i="5"/>
  <c r="G6" i="5"/>
  <c r="G9" i="5"/>
  <c r="C11" i="5"/>
  <c r="C49" i="5" s="1"/>
  <c r="C52" i="5" s="1"/>
  <c r="G16" i="5"/>
  <c r="G18" i="5"/>
  <c r="G21" i="5"/>
  <c r="G32" i="5"/>
  <c r="G38" i="5"/>
  <c r="E18" i="3"/>
  <c r="C18" i="3"/>
  <c r="C44" i="3" s="1"/>
  <c r="C50" i="3" s="1"/>
  <c r="C7" i="3"/>
  <c r="O44" i="3"/>
  <c r="O50" i="3" s="1"/>
  <c r="E42" i="3"/>
  <c r="G42" i="3" s="1"/>
  <c r="G41" i="3"/>
  <c r="G40" i="3"/>
  <c r="G39" i="3"/>
  <c r="E37" i="3"/>
  <c r="G37" i="3" s="1"/>
  <c r="G35" i="3"/>
  <c r="G34" i="3"/>
  <c r="G33" i="3"/>
  <c r="G31" i="3"/>
  <c r="G29" i="3"/>
  <c r="G28" i="3"/>
  <c r="G27" i="3"/>
  <c r="G26" i="3"/>
  <c r="G25" i="3"/>
  <c r="G24" i="3"/>
  <c r="G23" i="3"/>
  <c r="G22" i="3"/>
  <c r="E21" i="3"/>
  <c r="E20" i="3"/>
  <c r="G20" i="3" s="1"/>
  <c r="G19" i="3"/>
  <c r="G18" i="3"/>
  <c r="G17" i="3"/>
  <c r="E16" i="3"/>
  <c r="O11" i="3"/>
  <c r="O49" i="3" s="1"/>
  <c r="O52" i="3" s="1"/>
  <c r="E9" i="3"/>
  <c r="G8" i="3"/>
  <c r="E7" i="3"/>
  <c r="E6" i="3"/>
  <c r="G6" i="3" s="1"/>
  <c r="G5" i="3"/>
  <c r="E42" i="2"/>
  <c r="E32" i="2"/>
  <c r="K29" i="2"/>
  <c r="E42" i="1"/>
  <c r="E37" i="1"/>
  <c r="E32" i="1"/>
  <c r="E21" i="1"/>
  <c r="E20" i="1"/>
  <c r="K20" i="1" s="1"/>
  <c r="E16" i="1"/>
  <c r="K42" i="2"/>
  <c r="M42" i="2" s="1"/>
  <c r="K41" i="2"/>
  <c r="K41" i="3" s="1"/>
  <c r="K41" i="5" s="1"/>
  <c r="K41" i="6" s="1"/>
  <c r="K41" i="7" s="1"/>
  <c r="K41" i="8" s="1"/>
  <c r="K41" i="9" s="1"/>
  <c r="K41" i="10" s="1"/>
  <c r="K41" i="11" s="1"/>
  <c r="K40" i="2"/>
  <c r="M40" i="2" s="1"/>
  <c r="K39" i="2"/>
  <c r="K39" i="3" s="1"/>
  <c r="K39" i="5" s="1"/>
  <c r="K39" i="6" s="1"/>
  <c r="K39" i="7" s="1"/>
  <c r="K39" i="8" s="1"/>
  <c r="K39" i="9" s="1"/>
  <c r="K39" i="10" s="1"/>
  <c r="K39" i="11" s="1"/>
  <c r="K36" i="2"/>
  <c r="K36" i="3" s="1"/>
  <c r="K36" i="5" s="1"/>
  <c r="K36" i="6" s="1"/>
  <c r="K35" i="2"/>
  <c r="K35" i="3" s="1"/>
  <c r="K35" i="5" s="1"/>
  <c r="K35" i="6" s="1"/>
  <c r="K35" i="7" s="1"/>
  <c r="K35" i="8" s="1"/>
  <c r="K35" i="9" s="1"/>
  <c r="K35" i="10" s="1"/>
  <c r="K35" i="11" s="1"/>
  <c r="K34" i="2"/>
  <c r="K34" i="3" s="1"/>
  <c r="K34" i="5" s="1"/>
  <c r="K34" i="6" s="1"/>
  <c r="K34" i="7" s="1"/>
  <c r="K34" i="8" s="1"/>
  <c r="K33" i="2"/>
  <c r="K33" i="3" s="1"/>
  <c r="K33" i="5" s="1"/>
  <c r="K33" i="6" s="1"/>
  <c r="K33" i="7" s="1"/>
  <c r="K33" i="8" s="1"/>
  <c r="K33" i="9" s="1"/>
  <c r="K33" i="10" s="1"/>
  <c r="K33" i="11" s="1"/>
  <c r="K31" i="2"/>
  <c r="K28" i="2"/>
  <c r="K28" i="3" s="1"/>
  <c r="K28" i="5" s="1"/>
  <c r="K28" i="6" s="1"/>
  <c r="K28" i="7" s="1"/>
  <c r="K28" i="8" s="1"/>
  <c r="K28" i="9" s="1"/>
  <c r="K28" i="10" s="1"/>
  <c r="K27" i="2"/>
  <c r="K27" i="3" s="1"/>
  <c r="K27" i="5" s="1"/>
  <c r="K27" i="6" s="1"/>
  <c r="K27" i="7" s="1"/>
  <c r="K27" i="8" s="1"/>
  <c r="K27" i="9" s="1"/>
  <c r="K27" i="10" s="1"/>
  <c r="K27" i="11" s="1"/>
  <c r="K26" i="2"/>
  <c r="K25" i="2"/>
  <c r="K25" i="3" s="1"/>
  <c r="K25" i="5" s="1"/>
  <c r="K25" i="6" s="1"/>
  <c r="K25" i="7" s="1"/>
  <c r="K25" i="8" s="1"/>
  <c r="K25" i="9" s="1"/>
  <c r="K25" i="10" s="1"/>
  <c r="K25" i="11" s="1"/>
  <c r="K24" i="2"/>
  <c r="K24" i="3" s="1"/>
  <c r="K24" i="5" s="1"/>
  <c r="K24" i="6" s="1"/>
  <c r="K24" i="7" s="1"/>
  <c r="K24" i="8" s="1"/>
  <c r="K24" i="9" s="1"/>
  <c r="K24" i="10" s="1"/>
  <c r="K23" i="2"/>
  <c r="K23" i="3" s="1"/>
  <c r="K23" i="5" s="1"/>
  <c r="K23" i="6" s="1"/>
  <c r="K23" i="7" s="1"/>
  <c r="K23" i="8" s="1"/>
  <c r="K23" i="9" s="1"/>
  <c r="K23" i="10" s="1"/>
  <c r="K23" i="11" s="1"/>
  <c r="K22" i="2"/>
  <c r="K22" i="3" s="1"/>
  <c r="K22" i="5" s="1"/>
  <c r="K22" i="6" s="1"/>
  <c r="K22" i="7" s="1"/>
  <c r="K22" i="8" s="1"/>
  <c r="K22" i="9" s="1"/>
  <c r="K22" i="10" s="1"/>
  <c r="K19" i="2"/>
  <c r="K18" i="2"/>
  <c r="K18" i="3" s="1"/>
  <c r="K18" i="5" s="1"/>
  <c r="K18" i="6" s="1"/>
  <c r="K18" i="7" s="1"/>
  <c r="K18" i="8" s="1"/>
  <c r="K18" i="9" s="1"/>
  <c r="K18" i="10" s="1"/>
  <c r="K18" i="11" s="1"/>
  <c r="K17" i="2"/>
  <c r="K17" i="3" s="1"/>
  <c r="K17" i="5" s="1"/>
  <c r="K17" i="6" s="1"/>
  <c r="K17" i="7" s="1"/>
  <c r="K17" i="8" s="1"/>
  <c r="K17" i="9" s="1"/>
  <c r="K17" i="10" s="1"/>
  <c r="K17" i="11" s="1"/>
  <c r="I42" i="2"/>
  <c r="I42" i="3" s="1"/>
  <c r="I41" i="2"/>
  <c r="I41" i="3" s="1"/>
  <c r="I40" i="2"/>
  <c r="I40" i="3" s="1"/>
  <c r="I40" i="5" s="1"/>
  <c r="I40" i="6" s="1"/>
  <c r="I40" i="7" s="1"/>
  <c r="I40" i="8" s="1"/>
  <c r="I39" i="2"/>
  <c r="I39" i="3" s="1"/>
  <c r="I38" i="2"/>
  <c r="I38" i="3" s="1"/>
  <c r="I38" i="5" s="1"/>
  <c r="I38" i="6" s="1"/>
  <c r="I37" i="2"/>
  <c r="I37" i="3" s="1"/>
  <c r="I36" i="2"/>
  <c r="I36" i="3" s="1"/>
  <c r="I36" i="5" s="1"/>
  <c r="I36" i="6" s="1"/>
  <c r="I35" i="2"/>
  <c r="I35" i="3" s="1"/>
  <c r="I34" i="2"/>
  <c r="I34" i="3" s="1"/>
  <c r="I33" i="2"/>
  <c r="I33" i="3" s="1"/>
  <c r="I32" i="2"/>
  <c r="I32" i="3" s="1"/>
  <c r="I32" i="5" s="1"/>
  <c r="I32" i="6" s="1"/>
  <c r="I31" i="2"/>
  <c r="I31" i="3" s="1"/>
  <c r="I31" i="5" s="1"/>
  <c r="I31" i="6" s="1"/>
  <c r="I31" i="7" s="1"/>
  <c r="I31" i="8" s="1"/>
  <c r="I30" i="2"/>
  <c r="I30" i="3" s="1"/>
  <c r="I30" i="5" s="1"/>
  <c r="I30" i="6" s="1"/>
  <c r="I29" i="2"/>
  <c r="I29" i="3" s="1"/>
  <c r="I29" i="5" s="1"/>
  <c r="I29" i="6" s="1"/>
  <c r="I29" i="7" s="1"/>
  <c r="I29" i="8" s="1"/>
  <c r="I28" i="2"/>
  <c r="I28" i="3" s="1"/>
  <c r="I27" i="2"/>
  <c r="I27" i="3" s="1"/>
  <c r="I26" i="2"/>
  <c r="I26" i="3" s="1"/>
  <c r="I26" i="5" s="1"/>
  <c r="I26" i="6" s="1"/>
  <c r="I26" i="7" s="1"/>
  <c r="I26" i="8" s="1"/>
  <c r="I26" i="9" s="1"/>
  <c r="I25" i="2"/>
  <c r="I25" i="3" s="1"/>
  <c r="I24" i="2"/>
  <c r="I24" i="3" s="1"/>
  <c r="I23" i="2"/>
  <c r="I23" i="3" s="1"/>
  <c r="I22" i="2"/>
  <c r="I22" i="3" s="1"/>
  <c r="I21" i="2"/>
  <c r="I21" i="3" s="1"/>
  <c r="I21" i="5" s="1"/>
  <c r="I20" i="2"/>
  <c r="I20" i="3" s="1"/>
  <c r="I19" i="2"/>
  <c r="M19" i="2" s="1"/>
  <c r="I18" i="2"/>
  <c r="I18" i="3" s="1"/>
  <c r="I18" i="5" s="1"/>
  <c r="I17" i="2"/>
  <c r="M17" i="2" s="1"/>
  <c r="I16" i="2"/>
  <c r="I16" i="3" s="1"/>
  <c r="I16" i="5" s="1"/>
  <c r="E38" i="2"/>
  <c r="E37" i="2"/>
  <c r="E21" i="2"/>
  <c r="K21" i="2" s="1"/>
  <c r="K21" i="3" s="1"/>
  <c r="K21" i="5" s="1"/>
  <c r="K21" i="6" s="1"/>
  <c r="K21" i="7" s="1"/>
  <c r="K21" i="8" s="1"/>
  <c r="K21" i="9" s="1"/>
  <c r="K21" i="10" s="1"/>
  <c r="K21" i="11" s="1"/>
  <c r="E20" i="2"/>
  <c r="E16" i="2"/>
  <c r="K5" i="2"/>
  <c r="K5" i="3" s="1"/>
  <c r="K5" i="5" s="1"/>
  <c r="E8" i="2"/>
  <c r="G8" i="2" s="1"/>
  <c r="C8" i="2"/>
  <c r="C7" i="2"/>
  <c r="G7" i="2" s="1"/>
  <c r="C6" i="2"/>
  <c r="I9" i="2"/>
  <c r="I9" i="3" s="1"/>
  <c r="I9" i="5" s="1"/>
  <c r="I8" i="2"/>
  <c r="I8" i="3" s="1"/>
  <c r="I8" i="5" s="1"/>
  <c r="I6" i="2"/>
  <c r="I6" i="3" s="1"/>
  <c r="I6" i="5" s="1"/>
  <c r="I5" i="2"/>
  <c r="I5" i="3" s="1"/>
  <c r="I5" i="5" s="1"/>
  <c r="O44" i="2"/>
  <c r="O50" i="2" s="1"/>
  <c r="C44" i="2"/>
  <c r="C50" i="2" s="1"/>
  <c r="G42" i="2"/>
  <c r="M41" i="2"/>
  <c r="G41" i="2"/>
  <c r="G40" i="2"/>
  <c r="M39" i="2"/>
  <c r="G39" i="2"/>
  <c r="M35" i="2"/>
  <c r="G35" i="2"/>
  <c r="M34" i="2"/>
  <c r="G34" i="2"/>
  <c r="M33" i="2"/>
  <c r="G33" i="2"/>
  <c r="M31" i="2"/>
  <c r="G31" i="2"/>
  <c r="E30" i="2"/>
  <c r="K30" i="2" s="1"/>
  <c r="G29" i="2"/>
  <c r="M28" i="2"/>
  <c r="G28" i="2"/>
  <c r="M27" i="2"/>
  <c r="G27" i="2"/>
  <c r="M26" i="2"/>
  <c r="G26" i="2"/>
  <c r="M25" i="2"/>
  <c r="G25" i="2"/>
  <c r="M24" i="2"/>
  <c r="G24" i="2"/>
  <c r="G23" i="2"/>
  <c r="M22" i="2"/>
  <c r="G22" i="2"/>
  <c r="G19" i="2"/>
  <c r="M18" i="2"/>
  <c r="G18" i="2"/>
  <c r="G17" i="2"/>
  <c r="O11" i="2"/>
  <c r="O49" i="2" s="1"/>
  <c r="O52" i="2" s="1"/>
  <c r="E9" i="2"/>
  <c r="E7" i="2"/>
  <c r="G6" i="2"/>
  <c r="E6" i="2"/>
  <c r="G5" i="2"/>
  <c r="M35" i="1"/>
  <c r="M33" i="1"/>
  <c r="M17" i="1"/>
  <c r="K42" i="1"/>
  <c r="K41" i="1"/>
  <c r="K40" i="1"/>
  <c r="K39" i="1"/>
  <c r="K37" i="1"/>
  <c r="K35" i="1"/>
  <c r="K34" i="1"/>
  <c r="K33" i="1"/>
  <c r="K32" i="1"/>
  <c r="K31" i="1"/>
  <c r="K30" i="1"/>
  <c r="K28" i="1"/>
  <c r="K27" i="1"/>
  <c r="M27" i="1" s="1"/>
  <c r="K26" i="1"/>
  <c r="K25" i="1"/>
  <c r="K24" i="1"/>
  <c r="K23" i="1"/>
  <c r="K22" i="1"/>
  <c r="K21" i="1"/>
  <c r="M21" i="1" s="1"/>
  <c r="K19" i="1"/>
  <c r="K18" i="1"/>
  <c r="K17" i="1"/>
  <c r="K16" i="1"/>
  <c r="I42" i="1"/>
  <c r="I41" i="1"/>
  <c r="M41" i="1" s="1"/>
  <c r="I40" i="1"/>
  <c r="I39" i="1"/>
  <c r="M39" i="1" s="1"/>
  <c r="I38" i="1"/>
  <c r="I37" i="1"/>
  <c r="I35" i="1"/>
  <c r="I34" i="1"/>
  <c r="M34" i="1" s="1"/>
  <c r="I33" i="1"/>
  <c r="I32" i="1"/>
  <c r="I31" i="1"/>
  <c r="I30" i="1"/>
  <c r="I29" i="1"/>
  <c r="I28" i="1"/>
  <c r="M28" i="1" s="1"/>
  <c r="I27" i="1"/>
  <c r="I26" i="1"/>
  <c r="I25" i="1"/>
  <c r="M25" i="1" s="1"/>
  <c r="I24" i="1"/>
  <c r="M24" i="1" s="1"/>
  <c r="I23" i="1"/>
  <c r="M23" i="1" s="1"/>
  <c r="I22" i="1"/>
  <c r="M22" i="1" s="1"/>
  <c r="I21" i="1"/>
  <c r="I20" i="1"/>
  <c r="I19" i="1"/>
  <c r="I18" i="1"/>
  <c r="M18" i="1" s="1"/>
  <c r="I17" i="1"/>
  <c r="I16" i="1"/>
  <c r="K8" i="1"/>
  <c r="K6" i="1"/>
  <c r="K5" i="1"/>
  <c r="I9" i="1"/>
  <c r="I8" i="1"/>
  <c r="M8" i="1" s="1"/>
  <c r="I6" i="1"/>
  <c r="M6" i="1" s="1"/>
  <c r="I5" i="1"/>
  <c r="M5" i="1" s="1"/>
  <c r="E9" i="1"/>
  <c r="K9" i="2" s="1"/>
  <c r="K9" i="3" s="1"/>
  <c r="K9" i="5" s="1"/>
  <c r="K9" i="6" s="1"/>
  <c r="K9" i="7" s="1"/>
  <c r="K9" i="8" s="1"/>
  <c r="K9" i="9" s="1"/>
  <c r="K9" i="10" s="1"/>
  <c r="K9" i="11" s="1"/>
  <c r="E7" i="1"/>
  <c r="K7" i="2" s="1"/>
  <c r="K7" i="3" s="1"/>
  <c r="K7" i="5" s="1"/>
  <c r="K7" i="6" s="1"/>
  <c r="K7" i="7" s="1"/>
  <c r="K7" i="8" s="1"/>
  <c r="K7" i="9" s="1"/>
  <c r="K7" i="10" s="1"/>
  <c r="K7" i="11" s="1"/>
  <c r="O44" i="1"/>
  <c r="O50" i="1" s="1"/>
  <c r="O11" i="1"/>
  <c r="O49" i="1" s="1"/>
  <c r="O52" i="1" s="1"/>
  <c r="G42" i="1"/>
  <c r="E38" i="1"/>
  <c r="K38" i="1" s="1"/>
  <c r="G41" i="1"/>
  <c r="G40" i="1"/>
  <c r="G39" i="1"/>
  <c r="G38" i="1"/>
  <c r="G37" i="1"/>
  <c r="G35" i="1"/>
  <c r="G34" i="1"/>
  <c r="G26" i="1"/>
  <c r="G18" i="1"/>
  <c r="C7" i="1"/>
  <c r="I7" i="1" s="1"/>
  <c r="E6" i="1"/>
  <c r="K6" i="2" s="1"/>
  <c r="K6" i="3" s="1"/>
  <c r="K6" i="5" s="1"/>
  <c r="K6" i="6" s="1"/>
  <c r="K6" i="7" s="1"/>
  <c r="K6" i="8" s="1"/>
  <c r="K6" i="9" s="1"/>
  <c r="K6" i="10" s="1"/>
  <c r="K6" i="11" s="1"/>
  <c r="I8" i="6" l="1"/>
  <c r="I16" i="6"/>
  <c r="I18" i="6"/>
  <c r="M18" i="5"/>
  <c r="I20" i="5"/>
  <c r="I22" i="5"/>
  <c r="M22" i="3"/>
  <c r="I24" i="5"/>
  <c r="M24" i="3"/>
  <c r="I30" i="7"/>
  <c r="I40" i="9"/>
  <c r="K22" i="11"/>
  <c r="K24" i="11"/>
  <c r="K28" i="11"/>
  <c r="I5" i="6"/>
  <c r="M5" i="5"/>
  <c r="K5" i="6"/>
  <c r="I26" i="10"/>
  <c r="I26" i="11" s="1"/>
  <c r="I28" i="5"/>
  <c r="M28" i="3"/>
  <c r="I32" i="7"/>
  <c r="I34" i="5"/>
  <c r="M34" i="3"/>
  <c r="I38" i="7"/>
  <c r="I42" i="5"/>
  <c r="M38" i="1"/>
  <c r="I6" i="6"/>
  <c r="M6" i="5"/>
  <c r="I9" i="6"/>
  <c r="M9" i="5"/>
  <c r="I21" i="6"/>
  <c r="M21" i="5"/>
  <c r="I23" i="5"/>
  <c r="M23" i="3"/>
  <c r="I25" i="5"/>
  <c r="M25" i="3"/>
  <c r="I27" i="5"/>
  <c r="M27" i="3"/>
  <c r="I29" i="9"/>
  <c r="I31" i="9"/>
  <c r="I33" i="5"/>
  <c r="M33" i="3"/>
  <c r="I35" i="5"/>
  <c r="M35" i="3"/>
  <c r="I37" i="5"/>
  <c r="I39" i="5"/>
  <c r="M39" i="3"/>
  <c r="I41" i="5"/>
  <c r="M41" i="3"/>
  <c r="K34" i="9"/>
  <c r="K34" i="10" s="1"/>
  <c r="K34" i="11" s="1"/>
  <c r="M30" i="1"/>
  <c r="M32" i="1"/>
  <c r="M37" i="1"/>
  <c r="E11" i="2"/>
  <c r="E49" i="2" s="1"/>
  <c r="I7" i="2"/>
  <c r="I7" i="3" s="1"/>
  <c r="I7" i="5" s="1"/>
  <c r="K8" i="2"/>
  <c r="K8" i="3" s="1"/>
  <c r="K8" i="5" s="1"/>
  <c r="K8" i="6" s="1"/>
  <c r="K8" i="7" s="1"/>
  <c r="K8" i="8" s="1"/>
  <c r="K8" i="9" s="1"/>
  <c r="K8" i="10" s="1"/>
  <c r="K8" i="11" s="1"/>
  <c r="K38" i="2"/>
  <c r="K38" i="3" s="1"/>
  <c r="K38" i="5" s="1"/>
  <c r="M20" i="1"/>
  <c r="M7" i="3"/>
  <c r="I17" i="3"/>
  <c r="I19" i="3"/>
  <c r="I19" i="5" s="1"/>
  <c r="I19" i="6" s="1"/>
  <c r="I19" i="7" s="1"/>
  <c r="I19" i="8" s="1"/>
  <c r="I19" i="9" s="1"/>
  <c r="K42" i="3"/>
  <c r="K42" i="5" s="1"/>
  <c r="K42" i="6" s="1"/>
  <c r="K42" i="7" s="1"/>
  <c r="K42" i="8" s="1"/>
  <c r="K42" i="9" s="1"/>
  <c r="K42" i="10" s="1"/>
  <c r="K42" i="11" s="1"/>
  <c r="K7" i="1"/>
  <c r="K11" i="1" s="1"/>
  <c r="K49" i="1" s="1"/>
  <c r="K9" i="1"/>
  <c r="M9" i="1" s="1"/>
  <c r="M19" i="1"/>
  <c r="M26" i="1"/>
  <c r="M31" i="1"/>
  <c r="M40" i="1"/>
  <c r="M42" i="1"/>
  <c r="M6" i="2"/>
  <c r="K20" i="2"/>
  <c r="K20" i="3" s="1"/>
  <c r="K20" i="5" s="1"/>
  <c r="K20" i="6" s="1"/>
  <c r="K20" i="7" s="1"/>
  <c r="K20" i="8" s="1"/>
  <c r="K20" i="9" s="1"/>
  <c r="K20" i="10" s="1"/>
  <c r="K20" i="11" s="1"/>
  <c r="K16" i="2"/>
  <c r="K16" i="3" s="1"/>
  <c r="K16" i="5" s="1"/>
  <c r="K16" i="6" s="1"/>
  <c r="K16" i="7" s="1"/>
  <c r="K16" i="8" s="1"/>
  <c r="K37" i="2"/>
  <c r="K37" i="3" s="1"/>
  <c r="K37" i="5" s="1"/>
  <c r="K37" i="6" s="1"/>
  <c r="K37" i="7" s="1"/>
  <c r="K37" i="8" s="1"/>
  <c r="K37" i="9" s="1"/>
  <c r="K37" i="10" s="1"/>
  <c r="K37" i="11" s="1"/>
  <c r="M29" i="2"/>
  <c r="E11" i="3"/>
  <c r="E49" i="3" s="1"/>
  <c r="K19" i="3"/>
  <c r="K29" i="3"/>
  <c r="K29" i="5" s="1"/>
  <c r="K31" i="3"/>
  <c r="K26" i="3"/>
  <c r="K40" i="3"/>
  <c r="I11" i="5"/>
  <c r="I49" i="5" s="1"/>
  <c r="G11" i="5"/>
  <c r="G49" i="5" s="1"/>
  <c r="M16" i="5"/>
  <c r="G44" i="5"/>
  <c r="G50" i="5" s="1"/>
  <c r="G52" i="5" s="1"/>
  <c r="K30" i="3"/>
  <c r="M18" i="3"/>
  <c r="E44" i="3"/>
  <c r="E50" i="3" s="1"/>
  <c r="G30" i="3"/>
  <c r="M21" i="3"/>
  <c r="M38" i="3"/>
  <c r="G7" i="3"/>
  <c r="M8" i="3"/>
  <c r="G9" i="3"/>
  <c r="M9" i="3"/>
  <c r="C11" i="3"/>
  <c r="C49" i="3" s="1"/>
  <c r="C52" i="3" s="1"/>
  <c r="G16" i="3"/>
  <c r="G21" i="3"/>
  <c r="G32" i="3"/>
  <c r="G38" i="3"/>
  <c r="I44" i="3"/>
  <c r="I50" i="3" s="1"/>
  <c r="K32" i="2"/>
  <c r="K29" i="1"/>
  <c r="M29" i="1" s="1"/>
  <c r="M30" i="2"/>
  <c r="K44" i="1"/>
  <c r="K50" i="1" s="1"/>
  <c r="M16" i="1"/>
  <c r="E44" i="2"/>
  <c r="E50" i="2" s="1"/>
  <c r="E52" i="2" s="1"/>
  <c r="G30" i="2"/>
  <c r="M37" i="2"/>
  <c r="G37" i="2"/>
  <c r="M23" i="2"/>
  <c r="G20" i="2"/>
  <c r="M21" i="2"/>
  <c r="M38" i="2"/>
  <c r="M5" i="2"/>
  <c r="M7" i="2"/>
  <c r="G9" i="2"/>
  <c r="G11" i="2" s="1"/>
  <c r="G49" i="2" s="1"/>
  <c r="M9" i="2"/>
  <c r="C11" i="2"/>
  <c r="C49" i="2" s="1"/>
  <c r="C52" i="2" s="1"/>
  <c r="G16" i="2"/>
  <c r="K44" i="2"/>
  <c r="K50" i="2" s="1"/>
  <c r="G21" i="2"/>
  <c r="G32" i="2"/>
  <c r="G38" i="2"/>
  <c r="I44" i="2"/>
  <c r="I50" i="2" s="1"/>
  <c r="K52" i="1" l="1"/>
  <c r="I17" i="5"/>
  <c r="M17" i="3"/>
  <c r="I38" i="8"/>
  <c r="M37" i="3"/>
  <c r="I29" i="10"/>
  <c r="I29" i="11" s="1"/>
  <c r="M7" i="1"/>
  <c r="M11" i="1" s="1"/>
  <c r="M49" i="1" s="1"/>
  <c r="I42" i="6"/>
  <c r="M42" i="5"/>
  <c r="I34" i="6"/>
  <c r="M34" i="5"/>
  <c r="I32" i="8"/>
  <c r="I32" i="9" s="1"/>
  <c r="I28" i="6"/>
  <c r="M28" i="5"/>
  <c r="K5" i="7"/>
  <c r="K11" i="6"/>
  <c r="K49" i="6" s="1"/>
  <c r="M5" i="6"/>
  <c r="I5" i="7"/>
  <c r="I20" i="6"/>
  <c r="M20" i="5"/>
  <c r="M8" i="5"/>
  <c r="M8" i="2"/>
  <c r="M20" i="2"/>
  <c r="M32" i="2"/>
  <c r="K32" i="3"/>
  <c r="E52" i="3"/>
  <c r="K16" i="9"/>
  <c r="I19" i="10"/>
  <c r="M38" i="5"/>
  <c r="K38" i="6"/>
  <c r="I7" i="6"/>
  <c r="M7" i="5"/>
  <c r="I41" i="6"/>
  <c r="M41" i="5"/>
  <c r="I39" i="6"/>
  <c r="M39" i="5"/>
  <c r="I37" i="6"/>
  <c r="M37" i="5"/>
  <c r="I35" i="6"/>
  <c r="M35" i="5"/>
  <c r="I33" i="6"/>
  <c r="M33" i="5"/>
  <c r="I31" i="10"/>
  <c r="I31" i="11" s="1"/>
  <c r="I27" i="6"/>
  <c r="M27" i="5"/>
  <c r="I25" i="6"/>
  <c r="M25" i="5"/>
  <c r="I23" i="6"/>
  <c r="M23" i="5"/>
  <c r="I21" i="7"/>
  <c r="M21" i="6"/>
  <c r="I9" i="7"/>
  <c r="M9" i="6"/>
  <c r="I6" i="7"/>
  <c r="M6" i="6"/>
  <c r="M42" i="3"/>
  <c r="K11" i="5"/>
  <c r="K49" i="5" s="1"/>
  <c r="M11" i="5"/>
  <c r="M49" i="5" s="1"/>
  <c r="I40" i="10"/>
  <c r="I40" i="11" s="1"/>
  <c r="I30" i="8"/>
  <c r="I24" i="6"/>
  <c r="M24" i="5"/>
  <c r="I22" i="6"/>
  <c r="M22" i="5"/>
  <c r="M20" i="3"/>
  <c r="I18" i="7"/>
  <c r="M18" i="6"/>
  <c r="I16" i="7"/>
  <c r="M16" i="6"/>
  <c r="I8" i="7"/>
  <c r="M8" i="6"/>
  <c r="K19" i="5"/>
  <c r="M19" i="3"/>
  <c r="M40" i="3"/>
  <c r="K40" i="5"/>
  <c r="K29" i="6"/>
  <c r="M29" i="5"/>
  <c r="M44" i="1"/>
  <c r="M50" i="1" s="1"/>
  <c r="M52" i="1" s="1"/>
  <c r="M29" i="3"/>
  <c r="M26" i="3"/>
  <c r="K26" i="5"/>
  <c r="M31" i="3"/>
  <c r="K31" i="5"/>
  <c r="M30" i="3"/>
  <c r="K30" i="5"/>
  <c r="K30" i="6" s="1"/>
  <c r="K44" i="3"/>
  <c r="K50" i="3" s="1"/>
  <c r="G11" i="3"/>
  <c r="G49" i="3" s="1"/>
  <c r="M6" i="3"/>
  <c r="M16" i="3"/>
  <c r="G44" i="3"/>
  <c r="G50" i="3" s="1"/>
  <c r="K11" i="3"/>
  <c r="K49" i="3" s="1"/>
  <c r="M16" i="2"/>
  <c r="M44" i="2" s="1"/>
  <c r="M50" i="2" s="1"/>
  <c r="M52" i="2" s="1"/>
  <c r="G44" i="2"/>
  <c r="G50" i="2" s="1"/>
  <c r="G52" i="2" s="1"/>
  <c r="K11" i="2"/>
  <c r="K49" i="2" s="1"/>
  <c r="K52" i="2" s="1"/>
  <c r="M11" i="2"/>
  <c r="M49" i="2" s="1"/>
  <c r="I11" i="2"/>
  <c r="I49" i="2" s="1"/>
  <c r="I52" i="2" s="1"/>
  <c r="K30" i="7" l="1"/>
  <c r="M30" i="6"/>
  <c r="I16" i="8"/>
  <c r="M16" i="7"/>
  <c r="I18" i="8"/>
  <c r="M18" i="7"/>
  <c r="I6" i="8"/>
  <c r="M6" i="7"/>
  <c r="I9" i="8"/>
  <c r="M9" i="7"/>
  <c r="I21" i="8"/>
  <c r="M21" i="7"/>
  <c r="I23" i="7"/>
  <c r="M23" i="6"/>
  <c r="I25" i="7"/>
  <c r="M25" i="6"/>
  <c r="I27" i="7"/>
  <c r="M27" i="6"/>
  <c r="I33" i="7"/>
  <c r="M33" i="6"/>
  <c r="I35" i="7"/>
  <c r="M35" i="6"/>
  <c r="I37" i="7"/>
  <c r="M37" i="6"/>
  <c r="I39" i="7"/>
  <c r="M39" i="6"/>
  <c r="I41" i="7"/>
  <c r="M41" i="6"/>
  <c r="I7" i="7"/>
  <c r="M7" i="6"/>
  <c r="I19" i="11"/>
  <c r="K16" i="10"/>
  <c r="M32" i="3"/>
  <c r="K32" i="5"/>
  <c r="I20" i="7"/>
  <c r="M20" i="6"/>
  <c r="I5" i="8"/>
  <c r="M5" i="7"/>
  <c r="I11" i="7"/>
  <c r="I49" i="7" s="1"/>
  <c r="I28" i="7"/>
  <c r="M28" i="6"/>
  <c r="I32" i="10"/>
  <c r="I32" i="11" s="1"/>
  <c r="I34" i="7"/>
  <c r="M34" i="6"/>
  <c r="I42" i="7"/>
  <c r="M42" i="6"/>
  <c r="I38" i="9"/>
  <c r="K52" i="3"/>
  <c r="I8" i="8"/>
  <c r="M8" i="7"/>
  <c r="I22" i="7"/>
  <c r="M22" i="6"/>
  <c r="I24" i="7"/>
  <c r="M24" i="6"/>
  <c r="I30" i="9"/>
  <c r="M11" i="6"/>
  <c r="M49" i="6" s="1"/>
  <c r="K38" i="7"/>
  <c r="M38" i="6"/>
  <c r="I11" i="6"/>
  <c r="I49" i="6" s="1"/>
  <c r="K5" i="8"/>
  <c r="K11" i="7"/>
  <c r="K49" i="7" s="1"/>
  <c r="I17" i="6"/>
  <c r="M17" i="5"/>
  <c r="I44" i="5"/>
  <c r="I50" i="5" s="1"/>
  <c r="I52" i="5" s="1"/>
  <c r="K19" i="6"/>
  <c r="M19" i="5"/>
  <c r="K40" i="6"/>
  <c r="M40" i="5"/>
  <c r="M31" i="5"/>
  <c r="K31" i="6"/>
  <c r="K29" i="7"/>
  <c r="M29" i="6"/>
  <c r="K26" i="6"/>
  <c r="M26" i="5"/>
  <c r="M44" i="3"/>
  <c r="M50" i="3" s="1"/>
  <c r="M30" i="5"/>
  <c r="K44" i="5"/>
  <c r="K50" i="5" s="1"/>
  <c r="K52" i="5" s="1"/>
  <c r="G52" i="3"/>
  <c r="M29" i="7" l="1"/>
  <c r="K29" i="8"/>
  <c r="K5" i="9"/>
  <c r="K11" i="8"/>
  <c r="K49" i="8" s="1"/>
  <c r="I38" i="10"/>
  <c r="I42" i="8"/>
  <c r="M42" i="7"/>
  <c r="I34" i="8"/>
  <c r="M34" i="7"/>
  <c r="I28" i="8"/>
  <c r="M28" i="7"/>
  <c r="M32" i="5"/>
  <c r="K32" i="6"/>
  <c r="I27" i="8"/>
  <c r="M27" i="7"/>
  <c r="I25" i="8"/>
  <c r="M25" i="7"/>
  <c r="I23" i="8"/>
  <c r="M23" i="7"/>
  <c r="I21" i="9"/>
  <c r="M21" i="8"/>
  <c r="I9" i="9"/>
  <c r="M9" i="8"/>
  <c r="I6" i="9"/>
  <c r="M6" i="8"/>
  <c r="I18" i="9"/>
  <c r="M18" i="8"/>
  <c r="M44" i="5"/>
  <c r="M50" i="5" s="1"/>
  <c r="M52" i="5" s="1"/>
  <c r="I17" i="7"/>
  <c r="M17" i="6"/>
  <c r="I44" i="6"/>
  <c r="I50" i="6" s="1"/>
  <c r="I52" i="6"/>
  <c r="K38" i="8"/>
  <c r="M38" i="7"/>
  <c r="I30" i="10"/>
  <c r="I30" i="11" s="1"/>
  <c r="I24" i="8"/>
  <c r="M24" i="7"/>
  <c r="I22" i="8"/>
  <c r="M22" i="7"/>
  <c r="I8" i="9"/>
  <c r="M8" i="8"/>
  <c r="I5" i="9"/>
  <c r="M5" i="8"/>
  <c r="I20" i="8"/>
  <c r="M20" i="7"/>
  <c r="K16" i="11"/>
  <c r="I7" i="8"/>
  <c r="M7" i="7"/>
  <c r="M11" i="7" s="1"/>
  <c r="M49" i="7" s="1"/>
  <c r="I41" i="8"/>
  <c r="M41" i="7"/>
  <c r="I39" i="8"/>
  <c r="M39" i="7"/>
  <c r="I37" i="8"/>
  <c r="M37" i="7"/>
  <c r="I35" i="8"/>
  <c r="M35" i="7"/>
  <c r="I33" i="8"/>
  <c r="M33" i="7"/>
  <c r="I16" i="9"/>
  <c r="M16" i="8"/>
  <c r="K30" i="8"/>
  <c r="M30" i="7"/>
  <c r="K19" i="7"/>
  <c r="M19" i="6"/>
  <c r="K40" i="7"/>
  <c r="M40" i="6"/>
  <c r="K31" i="7"/>
  <c r="M31" i="6"/>
  <c r="K26" i="7"/>
  <c r="K26" i="8" s="1"/>
  <c r="M26" i="6"/>
  <c r="K44" i="6"/>
  <c r="K50" i="6" s="1"/>
  <c r="K52" i="6" s="1"/>
  <c r="G7" i="1"/>
  <c r="I44" i="1"/>
  <c r="I50" i="1" s="1"/>
  <c r="I11" i="1"/>
  <c r="I49" i="1" s="1"/>
  <c r="G6" i="1"/>
  <c r="G32" i="1"/>
  <c r="G30" i="1"/>
  <c r="G27" i="1"/>
  <c r="G20" i="1"/>
  <c r="G33" i="1"/>
  <c r="G29" i="1"/>
  <c r="G28" i="1"/>
  <c r="G25" i="1"/>
  <c r="G24" i="1"/>
  <c r="G23" i="1"/>
  <c r="G22" i="1"/>
  <c r="G19" i="1"/>
  <c r="E11" i="1"/>
  <c r="E49" i="1" s="1"/>
  <c r="G5" i="1"/>
  <c r="C11" i="1"/>
  <c r="C49" i="1" s="1"/>
  <c r="M26" i="8" l="1"/>
  <c r="K26" i="9"/>
  <c r="M31" i="7"/>
  <c r="K31" i="8"/>
  <c r="M40" i="7"/>
  <c r="K40" i="8"/>
  <c r="M19" i="7"/>
  <c r="K19" i="8"/>
  <c r="K30" i="9"/>
  <c r="M30" i="8"/>
  <c r="I5" i="10"/>
  <c r="M5" i="9"/>
  <c r="I18" i="10"/>
  <c r="M18" i="9"/>
  <c r="M6" i="9"/>
  <c r="I6" i="10"/>
  <c r="I9" i="10"/>
  <c r="M9" i="9"/>
  <c r="I21" i="10"/>
  <c r="M21" i="9"/>
  <c r="M23" i="8"/>
  <c r="I23" i="9"/>
  <c r="M25" i="8"/>
  <c r="I25" i="9"/>
  <c r="M27" i="8"/>
  <c r="I27" i="9"/>
  <c r="K32" i="7"/>
  <c r="M32" i="6"/>
  <c r="I28" i="9"/>
  <c r="M28" i="8"/>
  <c r="I34" i="9"/>
  <c r="M34" i="8"/>
  <c r="M42" i="8"/>
  <c r="I42" i="9"/>
  <c r="I38" i="11"/>
  <c r="K5" i="10"/>
  <c r="K11" i="9"/>
  <c r="K49" i="9" s="1"/>
  <c r="M44" i="6"/>
  <c r="M50" i="6" s="1"/>
  <c r="M52" i="6" s="1"/>
  <c r="I16" i="10"/>
  <c r="M16" i="9"/>
  <c r="M33" i="8"/>
  <c r="I33" i="9"/>
  <c r="I35" i="9"/>
  <c r="M35" i="8"/>
  <c r="I37" i="9"/>
  <c r="M37" i="8"/>
  <c r="M39" i="8"/>
  <c r="I39" i="9"/>
  <c r="I41" i="9"/>
  <c r="M41" i="8"/>
  <c r="I7" i="9"/>
  <c r="M7" i="8"/>
  <c r="M11" i="8" s="1"/>
  <c r="M49" i="8" s="1"/>
  <c r="I20" i="9"/>
  <c r="M20" i="8"/>
  <c r="I11" i="8"/>
  <c r="I49" i="8" s="1"/>
  <c r="I8" i="10"/>
  <c r="M8" i="9"/>
  <c r="I22" i="9"/>
  <c r="M22" i="8"/>
  <c r="I24" i="9"/>
  <c r="M24" i="8"/>
  <c r="K38" i="9"/>
  <c r="M38" i="8"/>
  <c r="M17" i="7"/>
  <c r="I17" i="8"/>
  <c r="I44" i="7"/>
  <c r="I50" i="7" s="1"/>
  <c r="I52" i="7" s="1"/>
  <c r="K29" i="9"/>
  <c r="M29" i="8"/>
  <c r="M26" i="7"/>
  <c r="K44" i="7"/>
  <c r="K50" i="7" s="1"/>
  <c r="K52" i="7" s="1"/>
  <c r="G8" i="1"/>
  <c r="G31" i="1"/>
  <c r="E44" i="1"/>
  <c r="E50" i="1" s="1"/>
  <c r="E52" i="1" s="1"/>
  <c r="G9" i="1"/>
  <c r="G16" i="1"/>
  <c r="G17" i="1"/>
  <c r="G21" i="1"/>
  <c r="C44" i="1"/>
  <c r="C50" i="1" s="1"/>
  <c r="C52" i="1" s="1"/>
  <c r="I52" i="1"/>
  <c r="M17" i="8" l="1"/>
  <c r="I17" i="9"/>
  <c r="I44" i="8"/>
  <c r="I50" i="8" s="1"/>
  <c r="I24" i="10"/>
  <c r="M24" i="9"/>
  <c r="I22" i="10"/>
  <c r="M22" i="9"/>
  <c r="I8" i="11"/>
  <c r="M8" i="11" s="1"/>
  <c r="M8" i="10"/>
  <c r="I7" i="10"/>
  <c r="M7" i="9"/>
  <c r="I41" i="10"/>
  <c r="M41" i="9"/>
  <c r="I37" i="10"/>
  <c r="M37" i="9"/>
  <c r="I35" i="10"/>
  <c r="M35" i="9"/>
  <c r="I42" i="10"/>
  <c r="M42" i="9"/>
  <c r="I27" i="10"/>
  <c r="M27" i="9"/>
  <c r="I25" i="10"/>
  <c r="M25" i="9"/>
  <c r="I23" i="10"/>
  <c r="M23" i="9"/>
  <c r="I6" i="11"/>
  <c r="M6" i="11" s="1"/>
  <c r="M6" i="10"/>
  <c r="I11" i="9"/>
  <c r="I49" i="9" s="1"/>
  <c r="I5" i="11"/>
  <c r="M5" i="10"/>
  <c r="I11" i="10"/>
  <c r="I49" i="10" s="1"/>
  <c r="M19" i="8"/>
  <c r="K19" i="9"/>
  <c r="K40" i="9"/>
  <c r="M40" i="8"/>
  <c r="K31" i="9"/>
  <c r="M31" i="8"/>
  <c r="K26" i="10"/>
  <c r="M26" i="9"/>
  <c r="K29" i="10"/>
  <c r="M29" i="9"/>
  <c r="K38" i="10"/>
  <c r="M38" i="9"/>
  <c r="I52" i="8"/>
  <c r="I20" i="10"/>
  <c r="M20" i="9"/>
  <c r="I39" i="10"/>
  <c r="M39" i="9"/>
  <c r="I33" i="10"/>
  <c r="M33" i="9"/>
  <c r="I16" i="11"/>
  <c r="M16" i="10"/>
  <c r="K5" i="11"/>
  <c r="K11" i="11" s="1"/>
  <c r="K49" i="11" s="1"/>
  <c r="K11" i="10"/>
  <c r="K49" i="10" s="1"/>
  <c r="I34" i="10"/>
  <c r="M34" i="9"/>
  <c r="I28" i="10"/>
  <c r="M28" i="9"/>
  <c r="K32" i="8"/>
  <c r="M32" i="7"/>
  <c r="M44" i="7" s="1"/>
  <c r="M50" i="7" s="1"/>
  <c r="M52" i="7" s="1"/>
  <c r="I21" i="11"/>
  <c r="M21" i="11" s="1"/>
  <c r="M21" i="10"/>
  <c r="I9" i="11"/>
  <c r="M9" i="11" s="1"/>
  <c r="M9" i="10"/>
  <c r="M18" i="10"/>
  <c r="I18" i="11"/>
  <c r="M18" i="11" s="1"/>
  <c r="M11" i="9"/>
  <c r="M49" i="9" s="1"/>
  <c r="K30" i="10"/>
  <c r="M30" i="9"/>
  <c r="G44" i="1"/>
  <c r="G50" i="1" s="1"/>
  <c r="G11" i="1"/>
  <c r="G49" i="1" s="1"/>
  <c r="M32" i="8" l="1"/>
  <c r="K32" i="9"/>
  <c r="I28" i="11"/>
  <c r="M28" i="11" s="1"/>
  <c r="M28" i="10"/>
  <c r="I34" i="11"/>
  <c r="M34" i="11" s="1"/>
  <c r="M34" i="10"/>
  <c r="M16" i="11"/>
  <c r="I33" i="11"/>
  <c r="M33" i="11" s="1"/>
  <c r="M33" i="10"/>
  <c r="I39" i="11"/>
  <c r="M39" i="11" s="1"/>
  <c r="M39" i="10"/>
  <c r="I20" i="11"/>
  <c r="M20" i="11" s="1"/>
  <c r="M20" i="10"/>
  <c r="M26" i="10"/>
  <c r="K26" i="11"/>
  <c r="M26" i="11" s="1"/>
  <c r="K31" i="10"/>
  <c r="M31" i="9"/>
  <c r="K40" i="10"/>
  <c r="M40" i="9"/>
  <c r="K19" i="10"/>
  <c r="M19" i="9"/>
  <c r="K44" i="9"/>
  <c r="K50" i="9" s="1"/>
  <c r="K52" i="9" s="1"/>
  <c r="M5" i="11"/>
  <c r="M44" i="8"/>
  <c r="M50" i="8" s="1"/>
  <c r="M52" i="8" s="1"/>
  <c r="M30" i="10"/>
  <c r="K30" i="11"/>
  <c r="K38" i="11"/>
  <c r="M38" i="11" s="1"/>
  <c r="M38" i="10"/>
  <c r="M29" i="10"/>
  <c r="K29" i="11"/>
  <c r="M29" i="11" s="1"/>
  <c r="K44" i="8"/>
  <c r="K50" i="8" s="1"/>
  <c r="K52" i="8" s="1"/>
  <c r="I23" i="11"/>
  <c r="M23" i="11" s="1"/>
  <c r="M23" i="10"/>
  <c r="I25" i="11"/>
  <c r="M25" i="11" s="1"/>
  <c r="M25" i="10"/>
  <c r="I27" i="11"/>
  <c r="M27" i="11" s="1"/>
  <c r="M27" i="10"/>
  <c r="M42" i="10"/>
  <c r="I42" i="11"/>
  <c r="M42" i="11" s="1"/>
  <c r="I35" i="11"/>
  <c r="M35" i="11" s="1"/>
  <c r="M35" i="10"/>
  <c r="I37" i="11"/>
  <c r="M37" i="11" s="1"/>
  <c r="M37" i="10"/>
  <c r="I41" i="11"/>
  <c r="M41" i="11" s="1"/>
  <c r="M41" i="10"/>
  <c r="I7" i="11"/>
  <c r="M7" i="11" s="1"/>
  <c r="M7" i="10"/>
  <c r="M11" i="10" s="1"/>
  <c r="M49" i="10" s="1"/>
  <c r="I22" i="11"/>
  <c r="M22" i="11" s="1"/>
  <c r="M22" i="10"/>
  <c r="I24" i="11"/>
  <c r="M24" i="11" s="1"/>
  <c r="M24" i="10"/>
  <c r="I17" i="10"/>
  <c r="M17" i="9"/>
  <c r="I44" i="9"/>
  <c r="I50" i="9" s="1"/>
  <c r="I52" i="9" s="1"/>
  <c r="G52" i="1"/>
  <c r="M30" i="11" l="1"/>
  <c r="K30" i="12"/>
  <c r="I17" i="11"/>
  <c r="M17" i="10"/>
  <c r="I44" i="10"/>
  <c r="I50" i="10" s="1"/>
  <c r="I52" i="10" s="1"/>
  <c r="I11" i="11"/>
  <c r="I49" i="11" s="1"/>
  <c r="K19" i="11"/>
  <c r="K19" i="12" s="1"/>
  <c r="M19" i="10"/>
  <c r="M40" i="10"/>
  <c r="K40" i="11"/>
  <c r="M31" i="10"/>
  <c r="K31" i="11"/>
  <c r="M31" i="11" s="1"/>
  <c r="M11" i="11"/>
  <c r="M49" i="11" s="1"/>
  <c r="K32" i="10"/>
  <c r="M32" i="9"/>
  <c r="M44" i="9" s="1"/>
  <c r="M50" i="9" s="1"/>
  <c r="M52" i="9" s="1"/>
  <c r="I11" i="3"/>
  <c r="I49" i="3" s="1"/>
  <c r="I52" i="3" s="1"/>
  <c r="M5" i="3"/>
  <c r="M11" i="3"/>
  <c r="M49" i="3" s="1"/>
  <c r="M52" i="3" s="1"/>
  <c r="M40" i="11" l="1"/>
  <c r="K40" i="12"/>
  <c r="K44" i="12" s="1"/>
  <c r="K50" i="12" s="1"/>
  <c r="K52" i="12" s="1"/>
  <c r="K19" i="4"/>
  <c r="M19" i="4" s="1"/>
  <c r="M19" i="12"/>
  <c r="M30" i="12"/>
  <c r="K30" i="4"/>
  <c r="M32" i="10"/>
  <c r="K32" i="11"/>
  <c r="M32" i="11" s="1"/>
  <c r="M17" i="11"/>
  <c r="I44" i="11"/>
  <c r="I50" i="11" s="1"/>
  <c r="I52" i="11" s="1"/>
  <c r="K44" i="10"/>
  <c r="K50" i="10" s="1"/>
  <c r="K52" i="10" s="1"/>
  <c r="M19" i="11"/>
  <c r="K44" i="11"/>
  <c r="K50" i="11" s="1"/>
  <c r="K52" i="11" s="1"/>
  <c r="M44" i="10"/>
  <c r="M50" i="10" s="1"/>
  <c r="M52" i="10" s="1"/>
  <c r="K40" i="4" l="1"/>
  <c r="M40" i="4" s="1"/>
  <c r="M40" i="12"/>
  <c r="M44" i="12" s="1"/>
  <c r="M50" i="12" s="1"/>
  <c r="M52" i="12" s="1"/>
  <c r="M30" i="4"/>
  <c r="M44" i="4" s="1"/>
  <c r="M50" i="4" s="1"/>
  <c r="M52" i="4" s="1"/>
  <c r="M44" i="11"/>
  <c r="M50" i="11" s="1"/>
  <c r="M52" i="11" s="1"/>
  <c r="K44" i="4" l="1"/>
  <c r="K50" i="4" s="1"/>
  <c r="K52" i="4" s="1"/>
</calcChain>
</file>

<file path=xl/sharedStrings.xml><?xml version="1.0" encoding="utf-8"?>
<sst xmlns="http://schemas.openxmlformats.org/spreadsheetml/2006/main" count="694" uniqueCount="114">
  <si>
    <t>Telecom Tax</t>
  </si>
  <si>
    <t>Total revenue</t>
  </si>
  <si>
    <t>Compensation</t>
  </si>
  <si>
    <t xml:space="preserve">   - Clerk</t>
  </si>
  <si>
    <t>Legal/Survey Fees</t>
  </si>
  <si>
    <t>LG&amp;E</t>
  </si>
  <si>
    <t>Rumpke</t>
  </si>
  <si>
    <t>Liability ins</t>
  </si>
  <si>
    <t>Worker's comp</t>
  </si>
  <si>
    <t>Organization dues</t>
  </si>
  <si>
    <t>Snow/Ice removal</t>
  </si>
  <si>
    <t>Financial Review</t>
  </si>
  <si>
    <t>Bellewood website</t>
  </si>
  <si>
    <t>Tree planting</t>
  </si>
  <si>
    <t>Actual</t>
  </si>
  <si>
    <t>Budget</t>
  </si>
  <si>
    <t>Variance</t>
  </si>
  <si>
    <t>Insurance Tax</t>
  </si>
  <si>
    <t>Property  Tax</t>
  </si>
  <si>
    <t>Interest Income</t>
  </si>
  <si>
    <t>Road Revenue</t>
  </si>
  <si>
    <t>Summary</t>
  </si>
  <si>
    <t>Overage / (Deficit)</t>
  </si>
  <si>
    <t>YTD</t>
  </si>
  <si>
    <t>YTD Budget Comparison</t>
  </si>
  <si>
    <t xml:space="preserve"> </t>
  </si>
  <si>
    <t>Bellewood Budget Comparison July 2012</t>
  </si>
  <si>
    <t xml:space="preserve">Revenues - July </t>
  </si>
  <si>
    <t>Expenses - July</t>
  </si>
  <si>
    <t xml:space="preserve">  - Commissioners</t>
  </si>
  <si>
    <t xml:space="preserve">  - Mayor</t>
  </si>
  <si>
    <t>Road Repairs</t>
  </si>
  <si>
    <t>Road Signage</t>
  </si>
  <si>
    <t>Postage</t>
  </si>
  <si>
    <t>Block parties</t>
  </si>
  <si>
    <t>Jefferson County assessment</t>
  </si>
  <si>
    <t>Property maintenance</t>
  </si>
  <si>
    <t>Seminar-State of KY</t>
  </si>
  <si>
    <t>Miscellaneous expense</t>
  </si>
  <si>
    <t xml:space="preserve">  - Record storage</t>
  </si>
  <si>
    <t xml:space="preserve">  - Grass cutting</t>
  </si>
  <si>
    <t xml:space="preserve">  - Surety bond</t>
  </si>
  <si>
    <t xml:space="preserve">  - Newsletter</t>
  </si>
  <si>
    <t xml:space="preserve">  - Yard Sale</t>
  </si>
  <si>
    <t xml:space="preserve">  - Other expenses</t>
  </si>
  <si>
    <t>Toal expenses - July</t>
  </si>
  <si>
    <t>Total Revenues - July</t>
  </si>
  <si>
    <t>Total Expenses - July</t>
  </si>
  <si>
    <t>Bellewood Budget Comparison August 2012</t>
  </si>
  <si>
    <t>Revenues - August</t>
  </si>
  <si>
    <t>Expenses - August</t>
  </si>
  <si>
    <t>Toal expenses - August</t>
  </si>
  <si>
    <t>Total Revenues - August</t>
  </si>
  <si>
    <t>Total Expenses - August</t>
  </si>
  <si>
    <t>2012-2013 Budget</t>
  </si>
  <si>
    <t>Bellewood Budget Comparison September 2012</t>
  </si>
  <si>
    <t>Revenues - September</t>
  </si>
  <si>
    <t>Expenses - September</t>
  </si>
  <si>
    <t>Toal expenses - September</t>
  </si>
  <si>
    <t>Total Revenues - September</t>
  </si>
  <si>
    <t>Total Expenses - September</t>
  </si>
  <si>
    <t>Bellewood Budget Comparison October 2012</t>
  </si>
  <si>
    <t>Revenues - October</t>
  </si>
  <si>
    <t>Expenses - October</t>
  </si>
  <si>
    <t>Toal expenses - October</t>
  </si>
  <si>
    <t>Total Revenues - October</t>
  </si>
  <si>
    <t>Total Expenses - October</t>
  </si>
  <si>
    <t xml:space="preserve">   (15 cuts)</t>
  </si>
  <si>
    <t>Bellewood Budget Comparison November 2012</t>
  </si>
  <si>
    <t>Revenues - November</t>
  </si>
  <si>
    <t>Expenses - November</t>
  </si>
  <si>
    <t>Toal expenses - November</t>
  </si>
  <si>
    <t>Total Revenues - November</t>
  </si>
  <si>
    <t>Total Expenses - November</t>
  </si>
  <si>
    <t>Bellewood Budget Comparison December 2012</t>
  </si>
  <si>
    <t>Revenues - December</t>
  </si>
  <si>
    <t>Expenses - December</t>
  </si>
  <si>
    <t>Toal expenses - December</t>
  </si>
  <si>
    <t>Total Revenues - December</t>
  </si>
  <si>
    <t>Total Expenses - December</t>
  </si>
  <si>
    <t>Bellewood Budget Comparison January 2013</t>
  </si>
  <si>
    <t>Revenues - January</t>
  </si>
  <si>
    <t>Expenses - January</t>
  </si>
  <si>
    <t>Toal expenses - January</t>
  </si>
  <si>
    <t>Total Revenues - January</t>
  </si>
  <si>
    <t>Total Expenses - January</t>
  </si>
  <si>
    <t>Bellewood Budget Comparison February 2013</t>
  </si>
  <si>
    <t>Revenues - February</t>
  </si>
  <si>
    <t>Expenses - February</t>
  </si>
  <si>
    <t>Total Revenues - February</t>
  </si>
  <si>
    <t>Total Expenses - February</t>
  </si>
  <si>
    <t>Bellewood Budget Comparison March 2013</t>
  </si>
  <si>
    <t>Revenues - March</t>
  </si>
  <si>
    <t>Expenses - March</t>
  </si>
  <si>
    <t>Toal expenses - March</t>
  </si>
  <si>
    <t>Toal expenses - February</t>
  </si>
  <si>
    <t>Total Revenues - March</t>
  </si>
  <si>
    <t>Total Expenses - March</t>
  </si>
  <si>
    <t>Bellewood Budget Comparison April 2013</t>
  </si>
  <si>
    <t>Revenues - April</t>
  </si>
  <si>
    <t>Expenses - April</t>
  </si>
  <si>
    <t>Toal expenses - April</t>
  </si>
  <si>
    <t>Total Revenues - April</t>
  </si>
  <si>
    <t>Total Expenses - April</t>
  </si>
  <si>
    <t>Bellewood Budget Comparison May 2013</t>
  </si>
  <si>
    <t>Revenues - May</t>
  </si>
  <si>
    <t xml:space="preserve">2012-2013 </t>
  </si>
  <si>
    <t>Expenses - May</t>
  </si>
  <si>
    <t>Toal expenses - May</t>
  </si>
  <si>
    <t>Total Revenues - May</t>
  </si>
  <si>
    <t>Total Expenses - May</t>
  </si>
  <si>
    <t>Bellewood Budget Comparison June 2013</t>
  </si>
  <si>
    <t>Revenues - June</t>
  </si>
  <si>
    <t>Expenses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</si>
</sst>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1" quotePrefix="1" applyNumberFormat="1" applyFont="1"/>
    <xf numFmtId="0" fontId="0" fillId="0" borderId="0" xfId="0" applyBorder="1"/>
    <xf numFmtId="164" fontId="2" fillId="0" borderId="0" xfId="1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0" workbookViewId="0">
      <selection activeCell="E41" sqref="E41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26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27</v>
      </c>
      <c r="K4" s="7"/>
    </row>
    <row r="5" spans="1:15" x14ac:dyDescent="0.25">
      <c r="A5" t="s">
        <v>18</v>
      </c>
      <c r="C5" s="2">
        <v>335.16</v>
      </c>
      <c r="E5" s="2">
        <v>0</v>
      </c>
      <c r="G5" s="6">
        <f>C5-E5</f>
        <v>335.16</v>
      </c>
      <c r="I5" s="2">
        <f>C5</f>
        <v>335.16</v>
      </c>
      <c r="K5" s="2">
        <f>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v>0</v>
      </c>
      <c r="E6" s="2">
        <f>7200/12</f>
        <v>600</v>
      </c>
      <c r="G6" s="6">
        <f t="shared" ref="G6:G9" si="1">C6-E6</f>
        <v>-600</v>
      </c>
      <c r="I6" s="2">
        <f t="shared" ref="I6:K9" si="2">C6</f>
        <v>0</v>
      </c>
      <c r="K6" s="2">
        <f t="shared" si="2"/>
        <v>600</v>
      </c>
      <c r="M6" s="6">
        <f t="shared" si="0"/>
        <v>-600</v>
      </c>
      <c r="O6" s="2">
        <v>11193</v>
      </c>
    </row>
    <row r="7" spans="1:15" x14ac:dyDescent="0.25">
      <c r="A7" t="s">
        <v>19</v>
      </c>
      <c r="C7" s="2">
        <f>20.25+2.18+23.29</f>
        <v>45.72</v>
      </c>
      <c r="E7" s="2">
        <f>O7/12</f>
        <v>61</v>
      </c>
      <c r="G7" s="6">
        <f t="shared" si="1"/>
        <v>-15.280000000000001</v>
      </c>
      <c r="I7" s="2">
        <f t="shared" si="2"/>
        <v>45.72</v>
      </c>
      <c r="K7" s="2">
        <f t="shared" si="2"/>
        <v>61</v>
      </c>
      <c r="M7" s="6">
        <f t="shared" si="0"/>
        <v>-15.280000000000001</v>
      </c>
      <c r="O7" s="2">
        <v>732</v>
      </c>
    </row>
    <row r="8" spans="1:15" x14ac:dyDescent="0.25">
      <c r="A8" t="s">
        <v>17</v>
      </c>
      <c r="C8" s="2">
        <v>0</v>
      </c>
      <c r="E8" s="2">
        <v>0</v>
      </c>
      <c r="G8" s="6">
        <f t="shared" si="1"/>
        <v>0</v>
      </c>
      <c r="I8" s="2">
        <f t="shared" si="2"/>
        <v>0</v>
      </c>
      <c r="K8" s="2">
        <f t="shared" si="2"/>
        <v>0</v>
      </c>
      <c r="M8" s="6">
        <f t="shared" si="0"/>
        <v>0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 t="shared" si="2"/>
        <v>271.55</v>
      </c>
      <c r="K9" s="2">
        <f t="shared" si="2"/>
        <v>270</v>
      </c>
      <c r="M9" s="6">
        <f t="shared" si="0"/>
        <v>1.5500000000000114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652.43000000000006</v>
      </c>
      <c r="E11" s="2">
        <f>SUM(E5:E10)</f>
        <v>931</v>
      </c>
      <c r="G11" s="2">
        <f>SUM(G5:G10)</f>
        <v>-278.57</v>
      </c>
      <c r="I11" s="2">
        <f>SUM(I5:I10)</f>
        <v>652.43000000000006</v>
      </c>
      <c r="K11" s="2">
        <f>SUM(K5:K10)</f>
        <v>931</v>
      </c>
      <c r="M11" s="2">
        <f>SUM(M5:M10)</f>
        <v>-278.57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28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3">C16-E16</f>
        <v>0</v>
      </c>
      <c r="I16" s="2">
        <f t="shared" ref="I16:K42" si="4">C16</f>
        <v>300</v>
      </c>
      <c r="K16" s="2">
        <f t="shared" si="4"/>
        <v>300</v>
      </c>
      <c r="M16" s="6">
        <f t="shared" ref="M16:M42" si="5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3"/>
        <v>0</v>
      </c>
      <c r="I17" s="2">
        <f t="shared" si="4"/>
        <v>0</v>
      </c>
      <c r="K17" s="2">
        <f t="shared" si="4"/>
        <v>0</v>
      </c>
      <c r="M17" s="6">
        <f t="shared" si="5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3"/>
        <v>0</v>
      </c>
      <c r="I18" s="2">
        <f t="shared" si="4"/>
        <v>0</v>
      </c>
      <c r="K18" s="2">
        <f t="shared" si="4"/>
        <v>0</v>
      </c>
      <c r="M18" s="6">
        <f t="shared" si="5"/>
        <v>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3"/>
        <v>0</v>
      </c>
      <c r="I19" s="2">
        <f t="shared" si="4"/>
        <v>0</v>
      </c>
      <c r="K19" s="2">
        <f t="shared" si="4"/>
        <v>0</v>
      </c>
      <c r="M19" s="6">
        <f t="shared" si="5"/>
        <v>0</v>
      </c>
      <c r="O19" s="2">
        <v>4500</v>
      </c>
    </row>
    <row r="20" spans="1:15" x14ac:dyDescent="0.25">
      <c r="A20" t="s">
        <v>5</v>
      </c>
      <c r="C20" s="2">
        <v>369.21</v>
      </c>
      <c r="E20" s="2">
        <f>O20/12</f>
        <v>366.66666666666669</v>
      </c>
      <c r="G20" s="6">
        <f t="shared" si="3"/>
        <v>2.5433333333332939</v>
      </c>
      <c r="I20" s="2">
        <f t="shared" si="4"/>
        <v>369.21</v>
      </c>
      <c r="K20" s="2">
        <f t="shared" si="4"/>
        <v>366.66666666666669</v>
      </c>
      <c r="M20" s="6">
        <f t="shared" si="5"/>
        <v>2.5433333333332939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3"/>
        <v>0</v>
      </c>
      <c r="I21" s="2">
        <f t="shared" si="4"/>
        <v>2767.5</v>
      </c>
      <c r="K21" s="2">
        <f t="shared" si="4"/>
        <v>2767.5</v>
      </c>
      <c r="M21" s="6">
        <f t="shared" si="5"/>
        <v>0</v>
      </c>
      <c r="O21" s="2">
        <v>33210</v>
      </c>
    </row>
    <row r="22" spans="1:15" x14ac:dyDescent="0.25">
      <c r="A22" t="s">
        <v>7</v>
      </c>
      <c r="C22" s="2">
        <v>3649</v>
      </c>
      <c r="E22" s="2">
        <v>3700</v>
      </c>
      <c r="G22" s="6">
        <f t="shared" si="3"/>
        <v>-51</v>
      </c>
      <c r="I22" s="2">
        <f t="shared" si="4"/>
        <v>3649</v>
      </c>
      <c r="K22" s="2">
        <f t="shared" si="4"/>
        <v>3700</v>
      </c>
      <c r="M22" s="6">
        <f t="shared" si="5"/>
        <v>-51</v>
      </c>
      <c r="O22" s="2">
        <v>3700</v>
      </c>
    </row>
    <row r="23" spans="1:15" x14ac:dyDescent="0.25">
      <c r="A23" t="s">
        <v>8</v>
      </c>
      <c r="C23" s="2">
        <v>531</v>
      </c>
      <c r="E23" s="2">
        <v>600</v>
      </c>
      <c r="G23" s="6">
        <f t="shared" si="3"/>
        <v>-69</v>
      </c>
      <c r="I23" s="2">
        <f t="shared" si="4"/>
        <v>531</v>
      </c>
      <c r="K23" s="2">
        <f t="shared" si="4"/>
        <v>600</v>
      </c>
      <c r="M23" s="6">
        <f t="shared" si="5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3"/>
        <v>0</v>
      </c>
      <c r="I24" s="2">
        <f t="shared" si="4"/>
        <v>0</v>
      </c>
      <c r="K24" s="2">
        <f t="shared" si="4"/>
        <v>0</v>
      </c>
      <c r="M24" s="6">
        <f t="shared" si="5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3"/>
        <v>0</v>
      </c>
      <c r="I25" s="2">
        <f t="shared" si="4"/>
        <v>0</v>
      </c>
      <c r="K25" s="2">
        <f t="shared" si="4"/>
        <v>0</v>
      </c>
      <c r="M25" s="6">
        <f t="shared" si="5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3"/>
        <v>0</v>
      </c>
      <c r="I26" s="2">
        <f t="shared" si="4"/>
        <v>0</v>
      </c>
      <c r="K26" s="2">
        <f t="shared" si="4"/>
        <v>0</v>
      </c>
      <c r="M26" s="6">
        <f t="shared" si="5"/>
        <v>0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3"/>
        <v>0</v>
      </c>
      <c r="I27" s="2">
        <f t="shared" si="4"/>
        <v>0</v>
      </c>
      <c r="K27" s="2">
        <f t="shared" si="4"/>
        <v>0</v>
      </c>
      <c r="M27" s="6">
        <f t="shared" si="5"/>
        <v>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3"/>
        <v>0</v>
      </c>
      <c r="I28" s="2">
        <f t="shared" si="4"/>
        <v>0</v>
      </c>
      <c r="K28" s="2">
        <f t="shared" si="4"/>
        <v>0</v>
      </c>
      <c r="M28" s="6">
        <f t="shared" si="5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v>0</v>
      </c>
      <c r="G29" s="6">
        <f t="shared" si="3"/>
        <v>0</v>
      </c>
      <c r="I29" s="2">
        <f t="shared" si="4"/>
        <v>0</v>
      </c>
      <c r="K29" s="2">
        <f t="shared" si="4"/>
        <v>0</v>
      </c>
      <c r="M29" s="6">
        <f t="shared" si="5"/>
        <v>0</v>
      </c>
      <c r="O29" s="2">
        <v>150</v>
      </c>
    </row>
    <row r="30" spans="1:15" x14ac:dyDescent="0.25">
      <c r="A30" t="s">
        <v>34</v>
      </c>
      <c r="C30" s="2">
        <v>0</v>
      </c>
      <c r="E30" s="2">
        <f>O30/4</f>
        <v>300</v>
      </c>
      <c r="G30" s="6">
        <f t="shared" si="3"/>
        <v>-300</v>
      </c>
      <c r="I30" s="2">
        <f t="shared" si="4"/>
        <v>0</v>
      </c>
      <c r="K30" s="2">
        <f t="shared" si="4"/>
        <v>300</v>
      </c>
      <c r="M30" s="6">
        <f t="shared" si="5"/>
        <v>-300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3"/>
        <v>0</v>
      </c>
      <c r="I31" s="2">
        <f t="shared" si="4"/>
        <v>0</v>
      </c>
      <c r="K31" s="2">
        <f t="shared" si="4"/>
        <v>0</v>
      </c>
      <c r="M31" s="6">
        <f t="shared" si="5"/>
        <v>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3"/>
        <v>-125</v>
      </c>
      <c r="I32" s="2">
        <f t="shared" si="4"/>
        <v>0</v>
      </c>
      <c r="K32" s="2">
        <f t="shared" si="4"/>
        <v>125</v>
      </c>
      <c r="M32" s="6">
        <f t="shared" si="5"/>
        <v>-125</v>
      </c>
      <c r="O32" s="2">
        <v>1500</v>
      </c>
    </row>
    <row r="33" spans="1:15" x14ac:dyDescent="0.25">
      <c r="A33" t="s">
        <v>35</v>
      </c>
      <c r="C33" s="2">
        <v>0</v>
      </c>
      <c r="E33" s="2">
        <v>0</v>
      </c>
      <c r="G33" s="6">
        <f t="shared" si="3"/>
        <v>0</v>
      </c>
      <c r="I33" s="2">
        <f t="shared" si="4"/>
        <v>0</v>
      </c>
      <c r="K33" s="2">
        <f t="shared" si="4"/>
        <v>0</v>
      </c>
      <c r="M33" s="6">
        <f t="shared" si="5"/>
        <v>0</v>
      </c>
      <c r="O33" s="2">
        <v>1800</v>
      </c>
    </row>
    <row r="34" spans="1:15" x14ac:dyDescent="0.25">
      <c r="A34" t="s">
        <v>36</v>
      </c>
      <c r="C34" s="2">
        <v>0</v>
      </c>
      <c r="E34" s="2">
        <v>0</v>
      </c>
      <c r="G34" s="6">
        <f t="shared" si="3"/>
        <v>0</v>
      </c>
      <c r="I34" s="2">
        <f t="shared" si="4"/>
        <v>0</v>
      </c>
      <c r="K34" s="2">
        <f t="shared" si="4"/>
        <v>0</v>
      </c>
      <c r="M34" s="6">
        <f t="shared" si="5"/>
        <v>0</v>
      </c>
      <c r="O34" s="2">
        <v>10000</v>
      </c>
    </row>
    <row r="35" spans="1:15" x14ac:dyDescent="0.25">
      <c r="A35" t="s">
        <v>37</v>
      </c>
      <c r="C35" s="2">
        <v>0</v>
      </c>
      <c r="E35" s="2">
        <v>0</v>
      </c>
      <c r="G35" s="6">
        <f t="shared" si="3"/>
        <v>0</v>
      </c>
      <c r="I35" s="2">
        <f t="shared" si="4"/>
        <v>0</v>
      </c>
      <c r="K35" s="2">
        <f t="shared" si="4"/>
        <v>0</v>
      </c>
      <c r="M35" s="6">
        <f t="shared" si="5"/>
        <v>0</v>
      </c>
      <c r="O35" s="2">
        <v>750</v>
      </c>
    </row>
    <row r="36" spans="1:15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5" x14ac:dyDescent="0.25">
      <c r="A37" t="s">
        <v>39</v>
      </c>
      <c r="C37" s="2">
        <v>50</v>
      </c>
      <c r="E37" s="2">
        <f>O37/12</f>
        <v>50</v>
      </c>
      <c r="G37" s="6">
        <f t="shared" si="3"/>
        <v>0</v>
      </c>
      <c r="I37" s="2">
        <f t="shared" si="4"/>
        <v>50</v>
      </c>
      <c r="K37" s="2">
        <f t="shared" si="4"/>
        <v>50</v>
      </c>
      <c r="M37" s="6">
        <f t="shared" si="5"/>
        <v>0</v>
      </c>
      <c r="O37" s="2">
        <v>600</v>
      </c>
    </row>
    <row r="38" spans="1:15" x14ac:dyDescent="0.25">
      <c r="A38" t="s">
        <v>40</v>
      </c>
      <c r="C38" s="2">
        <v>0</v>
      </c>
      <c r="E38" s="2">
        <f>4*17</f>
        <v>68</v>
      </c>
      <c r="G38" s="6">
        <f t="shared" si="3"/>
        <v>-68</v>
      </c>
      <c r="I38" s="2">
        <f t="shared" si="4"/>
        <v>0</v>
      </c>
      <c r="K38" s="2">
        <f t="shared" si="4"/>
        <v>68</v>
      </c>
      <c r="M38" s="6">
        <f t="shared" si="5"/>
        <v>-68</v>
      </c>
      <c r="O38" s="2">
        <v>425</v>
      </c>
    </row>
    <row r="39" spans="1:15" x14ac:dyDescent="0.25">
      <c r="A39" t="s">
        <v>41</v>
      </c>
      <c r="C39" s="2">
        <v>0</v>
      </c>
      <c r="E39" s="2">
        <v>0</v>
      </c>
      <c r="G39" s="6">
        <f t="shared" si="3"/>
        <v>0</v>
      </c>
      <c r="I39" s="2">
        <f t="shared" si="4"/>
        <v>0</v>
      </c>
      <c r="K39" s="2">
        <f t="shared" si="4"/>
        <v>0</v>
      </c>
      <c r="M39" s="6">
        <f t="shared" si="5"/>
        <v>0</v>
      </c>
      <c r="O39" s="2">
        <v>102</v>
      </c>
    </row>
    <row r="40" spans="1:15" x14ac:dyDescent="0.25">
      <c r="A40" t="s">
        <v>42</v>
      </c>
      <c r="C40" s="2">
        <v>0</v>
      </c>
      <c r="E40" s="2">
        <v>0</v>
      </c>
      <c r="G40" s="6">
        <f t="shared" si="3"/>
        <v>0</v>
      </c>
      <c r="I40" s="2">
        <f t="shared" si="4"/>
        <v>0</v>
      </c>
      <c r="K40" s="2">
        <f t="shared" si="4"/>
        <v>0</v>
      </c>
      <c r="M40" s="6">
        <f t="shared" si="5"/>
        <v>0</v>
      </c>
      <c r="O40" s="2">
        <v>200</v>
      </c>
    </row>
    <row r="41" spans="1:15" x14ac:dyDescent="0.25">
      <c r="A41" t="s">
        <v>43</v>
      </c>
      <c r="C41" s="2">
        <v>0</v>
      </c>
      <c r="E41" s="2">
        <v>0</v>
      </c>
      <c r="G41" s="6">
        <f t="shared" si="3"/>
        <v>0</v>
      </c>
      <c r="I41" s="2">
        <f t="shared" si="4"/>
        <v>0</v>
      </c>
      <c r="K41" s="2">
        <f t="shared" si="4"/>
        <v>0</v>
      </c>
      <c r="M41" s="6">
        <f t="shared" si="5"/>
        <v>0</v>
      </c>
      <c r="O41" s="2">
        <v>250</v>
      </c>
    </row>
    <row r="42" spans="1:15" x14ac:dyDescent="0.25">
      <c r="A42" t="s">
        <v>44</v>
      </c>
      <c r="C42" s="2">
        <v>0</v>
      </c>
      <c r="E42" s="2">
        <f>O42/12</f>
        <v>41.666666666666664</v>
      </c>
      <c r="G42" s="6">
        <f t="shared" si="3"/>
        <v>-41.666666666666664</v>
      </c>
      <c r="I42" s="2">
        <f t="shared" si="4"/>
        <v>0</v>
      </c>
      <c r="K42" s="2">
        <f t="shared" si="4"/>
        <v>41.666666666666664</v>
      </c>
      <c r="M42" s="6">
        <f t="shared" si="5"/>
        <v>-41.666666666666664</v>
      </c>
      <c r="O42" s="2">
        <v>500</v>
      </c>
    </row>
    <row r="43" spans="1:15" x14ac:dyDescent="0.25">
      <c r="G43" s="6"/>
      <c r="K43" s="2"/>
      <c r="O43" s="2"/>
    </row>
    <row r="44" spans="1:15" x14ac:dyDescent="0.25">
      <c r="A44" s="1" t="s">
        <v>45</v>
      </c>
      <c r="C44" s="2">
        <f>SUM(C16:C43)</f>
        <v>7666.71</v>
      </c>
      <c r="E44" s="2">
        <f>SUM(E16:E43)</f>
        <v>8318.8333333333339</v>
      </c>
      <c r="G44" s="2">
        <f>SUM(G16:G43)</f>
        <v>-652.12333333333333</v>
      </c>
      <c r="I44" s="2">
        <f>SUM(I16:I43)</f>
        <v>7666.71</v>
      </c>
      <c r="K44" s="2">
        <f>SUM(K16:K43)</f>
        <v>8318.8333333333339</v>
      </c>
      <c r="M44" s="2">
        <f>SUM(M16:M43)</f>
        <v>-652.12333333333333</v>
      </c>
      <c r="O44" s="2">
        <f>SUM(O16:O43)</f>
        <v>91422</v>
      </c>
    </row>
    <row r="45" spans="1:15" x14ac:dyDescent="0.25">
      <c r="G45" s="6"/>
    </row>
    <row r="46" spans="1:15" x14ac:dyDescent="0.25">
      <c r="G46" s="6"/>
    </row>
    <row r="47" spans="1:15" x14ac:dyDescent="0.25">
      <c r="A47" s="1" t="s">
        <v>21</v>
      </c>
      <c r="G47" s="6"/>
    </row>
    <row r="48" spans="1:15" x14ac:dyDescent="0.25">
      <c r="A48" s="1"/>
      <c r="G48" s="6"/>
    </row>
    <row r="49" spans="1:15" x14ac:dyDescent="0.25">
      <c r="A49" s="1" t="s">
        <v>46</v>
      </c>
      <c r="C49" s="2">
        <f>C11</f>
        <v>652.43000000000006</v>
      </c>
      <c r="E49" s="2">
        <f>E11</f>
        <v>931</v>
      </c>
      <c r="G49" s="2">
        <f>G11</f>
        <v>-278.57</v>
      </c>
      <c r="I49" s="2">
        <f>I11</f>
        <v>652.43000000000006</v>
      </c>
      <c r="K49" s="2">
        <f>K11</f>
        <v>931</v>
      </c>
      <c r="M49" s="2">
        <f>M11</f>
        <v>-278.57</v>
      </c>
      <c r="O49" s="2">
        <f>O11</f>
        <v>82165</v>
      </c>
    </row>
    <row r="50" spans="1:15" x14ac:dyDescent="0.25">
      <c r="A50" s="1" t="s">
        <v>47</v>
      </c>
      <c r="C50" s="2">
        <f>-C44</f>
        <v>-7666.71</v>
      </c>
      <c r="E50" s="2">
        <f>-E44</f>
        <v>-8318.8333333333339</v>
      </c>
      <c r="G50" s="2">
        <f>-G44</f>
        <v>652.12333333333333</v>
      </c>
      <c r="I50" s="2">
        <f>-I44</f>
        <v>-7666.71</v>
      </c>
      <c r="K50" s="2">
        <f>-K44</f>
        <v>-8318.8333333333339</v>
      </c>
      <c r="M50" s="2">
        <f>-M44</f>
        <v>652.12333333333333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-7014.28</v>
      </c>
      <c r="E52" s="2">
        <f>SUM(E49:E50)</f>
        <v>-7387.8333333333339</v>
      </c>
      <c r="G52" s="2">
        <f>SUM(G49:G50)</f>
        <v>373.55333333333334</v>
      </c>
      <c r="I52" s="2">
        <f>SUM(I49:I50)</f>
        <v>-7014.28</v>
      </c>
      <c r="K52" s="2">
        <f>SUM(K49:K50)</f>
        <v>-7387.8333333333339</v>
      </c>
      <c r="M52" s="2">
        <f>SUM(M49:M50)</f>
        <v>373.55333333333334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4" orientation="landscape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E20" sqref="E2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98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99</v>
      </c>
      <c r="K4" s="7"/>
    </row>
    <row r="5" spans="1:15" x14ac:dyDescent="0.25">
      <c r="A5" t="s">
        <v>18</v>
      </c>
      <c r="C5" s="2">
        <f>961.72+590.73</f>
        <v>1552.45</v>
      </c>
      <c r="E5" s="2">
        <v>0</v>
      </c>
      <c r="G5" s="6">
        <f>C5-E5</f>
        <v>1552.45</v>
      </c>
      <c r="I5" s="2">
        <f>'March 2013'!I5+C5</f>
        <v>42464.51</v>
      </c>
      <c r="K5" s="2">
        <f>'March 2013'!K5+E5</f>
        <v>40000</v>
      </c>
      <c r="M5" s="6">
        <f t="shared" ref="M5:M9" si="0">I5-K5</f>
        <v>2464.510000000002</v>
      </c>
      <c r="O5" s="2">
        <v>40000</v>
      </c>
    </row>
    <row r="6" spans="1:15" x14ac:dyDescent="0.25">
      <c r="A6" t="s">
        <v>20</v>
      </c>
      <c r="C6" s="2">
        <v>560.77</v>
      </c>
      <c r="E6" s="2">
        <f>7200/12</f>
        <v>600</v>
      </c>
      <c r="G6" s="6">
        <f t="shared" ref="G6:G9" si="1">C6-E6</f>
        <v>-39.230000000000018</v>
      </c>
      <c r="I6" s="2">
        <f>'March 2013'!I6+C6</f>
        <v>10100.880000000001</v>
      </c>
      <c r="K6" s="2">
        <f>'March 2013'!K6+E6</f>
        <v>9993</v>
      </c>
      <c r="M6" s="6">
        <f t="shared" si="0"/>
        <v>107.88000000000102</v>
      </c>
      <c r="O6" s="2">
        <v>11193</v>
      </c>
    </row>
    <row r="7" spans="1:15" x14ac:dyDescent="0.25">
      <c r="A7" t="s">
        <v>19</v>
      </c>
      <c r="C7" s="2">
        <f>17.33+5.58+22.67</f>
        <v>45.58</v>
      </c>
      <c r="E7" s="2">
        <f>O7/12</f>
        <v>61</v>
      </c>
      <c r="G7" s="6">
        <f t="shared" si="1"/>
        <v>-15.420000000000002</v>
      </c>
      <c r="I7" s="2">
        <f>'March 2013'!I7+C7</f>
        <v>444.24</v>
      </c>
      <c r="K7" s="2">
        <f>'March 2013'!K7+E7</f>
        <v>610</v>
      </c>
      <c r="M7" s="6">
        <f t="shared" si="0"/>
        <v>-165.76</v>
      </c>
      <c r="O7" s="2">
        <v>732</v>
      </c>
    </row>
    <row r="8" spans="1:15" x14ac:dyDescent="0.25">
      <c r="A8" t="s">
        <v>17</v>
      </c>
      <c r="C8" s="2">
        <v>5165.75</v>
      </c>
      <c r="E8" s="2">
        <f>O8/4</f>
        <v>6750</v>
      </c>
      <c r="G8" s="6">
        <f t="shared" si="1"/>
        <v>-1584.25</v>
      </c>
      <c r="I8" s="2">
        <f>'March 2013'!I8+C8</f>
        <v>24203.040000000001</v>
      </c>
      <c r="K8" s="2">
        <f>'March 2013'!K8+E8</f>
        <v>27000</v>
      </c>
      <c r="M8" s="6">
        <f t="shared" si="0"/>
        <v>-2796.9599999999991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'March 2013'!I9+C9</f>
        <v>2715.5000000000005</v>
      </c>
      <c r="K9" s="2">
        <f>'March 2013'!K9+E9</f>
        <v>2700</v>
      </c>
      <c r="M9" s="6">
        <f t="shared" si="0"/>
        <v>15.500000000000455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7596.1</v>
      </c>
      <c r="E11" s="2">
        <f>SUM(E5:E10)</f>
        <v>7681</v>
      </c>
      <c r="G11" s="2">
        <f>SUM(G5:G10)</f>
        <v>-84.900000000000034</v>
      </c>
      <c r="I11" s="2">
        <f>SUM(I5:I10)</f>
        <v>79928.17</v>
      </c>
      <c r="K11" s="2">
        <f>SUM(K5:K10)</f>
        <v>80303</v>
      </c>
      <c r="M11" s="2">
        <f>SUM(M5:M10)</f>
        <v>-374.82999999999583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100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'March 2013'!I16+C16</f>
        <v>3000</v>
      </c>
      <c r="K16" s="2">
        <f>'March 2013'!K16+E16</f>
        <v>3000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'March 2013'!I17+C17</f>
        <v>4500</v>
      </c>
      <c r="K17" s="2">
        <f>'March 2013'!K17+E17</f>
        <v>4500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'March 2013'!I18+C18</f>
        <v>1650</v>
      </c>
      <c r="K18" s="2">
        <f>'March 2013'!K18+E18</f>
        <v>2100</v>
      </c>
      <c r="M18" s="6">
        <f t="shared" si="3"/>
        <v>-450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2"/>
        <v>0</v>
      </c>
      <c r="I19" s="2">
        <f>'March 2013'!I19+C19</f>
        <v>167</v>
      </c>
      <c r="K19" s="2">
        <f>'March 2013'!K19+E19</f>
        <v>3375</v>
      </c>
      <c r="M19" s="6">
        <f t="shared" si="3"/>
        <v>-3208</v>
      </c>
      <c r="O19" s="2">
        <v>4500</v>
      </c>
    </row>
    <row r="20" spans="1:15" x14ac:dyDescent="0.25">
      <c r="A20" t="s">
        <v>5</v>
      </c>
      <c r="C20" s="2">
        <v>432.5</v>
      </c>
      <c r="E20" s="2">
        <f>O20/12</f>
        <v>366.66666666666669</v>
      </c>
      <c r="G20" s="6">
        <f t="shared" si="2"/>
        <v>65.833333333333314</v>
      </c>
      <c r="I20" s="2">
        <f>'March 2013'!I20+C20</f>
        <v>3901.0899999999997</v>
      </c>
      <c r="K20" s="2">
        <f>'March 2013'!K20+E20</f>
        <v>3666.6666666666661</v>
      </c>
      <c r="M20" s="6">
        <f t="shared" si="3"/>
        <v>234.42333333333363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'March 2013'!I21+C21</f>
        <v>27675</v>
      </c>
      <c r="K21" s="2">
        <f>'March 2013'!K21+E21</f>
        <v>27675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'March 2013'!I22+C22</f>
        <v>3649</v>
      </c>
      <c r="K22" s="2">
        <f>'March 2013'!K22+E22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'March 2013'!I23+C23</f>
        <v>531</v>
      </c>
      <c r="K23" s="2">
        <f>'March 2013'!K23+E23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'March 2013'!I24+C24</f>
        <v>307.08</v>
      </c>
      <c r="K24" s="2">
        <f>'March 2013'!K24+E24</f>
        <v>335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'March 2013'!I25+C25</f>
        <v>0</v>
      </c>
      <c r="K25" s="2">
        <f>'March 2013'!K25+E25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'March 2013'!I26+C26</f>
        <v>233</v>
      </c>
      <c r="K26" s="2">
        <f>'March 2013'!K26+E26</f>
        <v>1125</v>
      </c>
      <c r="M26" s="6">
        <f t="shared" si="3"/>
        <v>-892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'March 2013'!I27+C27</f>
        <v>1626</v>
      </c>
      <c r="K27" s="2">
        <f>'March 2013'!K27+E27</f>
        <v>5000</v>
      </c>
      <c r="M27" s="6">
        <f t="shared" si="3"/>
        <v>-3374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'March 2013'!I28+C28</f>
        <v>0</v>
      </c>
      <c r="K28" s="2">
        <f>'March 2013'!K28+E28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24.44</v>
      </c>
      <c r="E29" s="2">
        <v>0</v>
      </c>
      <c r="G29" s="6">
        <f t="shared" si="2"/>
        <v>24.44</v>
      </c>
      <c r="I29" s="2">
        <f>'March 2013'!I29+C29</f>
        <v>100.03999999999999</v>
      </c>
      <c r="K29" s="2">
        <f>'March 2013'!K29+E29</f>
        <v>112.5</v>
      </c>
      <c r="M29" s="6">
        <f t="shared" si="3"/>
        <v>-12.460000000000008</v>
      </c>
      <c r="O29" s="2">
        <v>150</v>
      </c>
    </row>
    <row r="30" spans="1:15" x14ac:dyDescent="0.25">
      <c r="A30" t="s">
        <v>34</v>
      </c>
      <c r="C30" s="2">
        <v>0</v>
      </c>
      <c r="E30" s="2">
        <v>0</v>
      </c>
      <c r="G30" s="6">
        <f t="shared" si="2"/>
        <v>0</v>
      </c>
      <c r="I30" s="2">
        <f>'March 2013'!I30+C30</f>
        <v>521.48</v>
      </c>
      <c r="K30" s="2">
        <f>'March 2013'!K30+E30</f>
        <v>1200</v>
      </c>
      <c r="M30" s="6">
        <f t="shared" si="3"/>
        <v>-678.52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'March 2013'!I31+C31</f>
        <v>950</v>
      </c>
      <c r="K31" s="2">
        <f>'March 2013'!K31+E31</f>
        <v>1500</v>
      </c>
      <c r="M31" s="6">
        <f t="shared" si="3"/>
        <v>-550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'March 2013'!I32+C32</f>
        <v>0</v>
      </c>
      <c r="K32" s="2">
        <f>'March 2013'!K32+E32</f>
        <v>1250</v>
      </c>
      <c r="M32" s="6">
        <f t="shared" si="3"/>
        <v>-1250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'March 2013'!I33+C33</f>
        <v>1821.11</v>
      </c>
      <c r="K33" s="2">
        <f>'March 2013'!K33+E33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'March 2013'!I34+C34</f>
        <v>900</v>
      </c>
      <c r="K34" s="2">
        <f>'March 2013'!K34+E34</f>
        <v>900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'March 2013'!I35+C35</f>
        <v>0</v>
      </c>
      <c r="K35" s="2">
        <f>'March 2013'!K35+E35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'March 2013'!I37+C37</f>
        <v>500</v>
      </c>
      <c r="K37" s="2">
        <f>'March 2013'!K37+E37</f>
        <v>500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'March 2013'!I38+C38</f>
        <v>238</v>
      </c>
      <c r="K38" s="2">
        <f>'March 2013'!K38+E38</f>
        <v>255</v>
      </c>
      <c r="M38" s="6">
        <f t="shared" si="3"/>
        <v>-17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'March 2013'!I39+C39</f>
        <v>101.8</v>
      </c>
      <c r="K39" s="2">
        <f>'March 2013'!K39+E39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'March 2013'!I40+C40</f>
        <v>55.68</v>
      </c>
      <c r="K40" s="2">
        <f>'March 2013'!K40+E40</f>
        <v>200</v>
      </c>
      <c r="M40" s="6">
        <f t="shared" si="3"/>
        <v>-144.32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'March 2013'!I41+C41</f>
        <v>0</v>
      </c>
      <c r="K41" s="2">
        <f>'March 2013'!K41+E41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v>39.21</v>
      </c>
      <c r="E42" s="2">
        <f>O42/12</f>
        <v>41.666666666666664</v>
      </c>
      <c r="G42" s="6">
        <f t="shared" si="2"/>
        <v>-2.4566666666666634</v>
      </c>
      <c r="I42" s="2">
        <f>'March 2013'!I42+C42</f>
        <v>1088.23</v>
      </c>
      <c r="K42" s="2">
        <f>'March 2013'!K42+E42</f>
        <v>416.66666666666669</v>
      </c>
      <c r="M42" s="6">
        <f t="shared" si="3"/>
        <v>671.56333333333328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101</v>
      </c>
      <c r="C44" s="2">
        <f>SUM(C16:C43)</f>
        <v>3613.65</v>
      </c>
      <c r="E44" s="2">
        <f>SUM(E16:E43)</f>
        <v>3650.8333333333335</v>
      </c>
      <c r="G44" s="2">
        <f>SUM(G16:G43)</f>
        <v>-37.183333333333351</v>
      </c>
      <c r="I44" s="2">
        <f>SUM(I16:I43)</f>
        <v>53515.510000000009</v>
      </c>
      <c r="K44" s="2">
        <f>SUM(K16:K43)</f>
        <v>63312.833333333328</v>
      </c>
      <c r="M44" s="2">
        <f>SUM(M16:M43)</f>
        <v>-9797.3233333333319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102</v>
      </c>
      <c r="C49" s="2">
        <f>C11</f>
        <v>7596.1</v>
      </c>
      <c r="E49" s="2">
        <f>E11</f>
        <v>7681</v>
      </c>
      <c r="G49" s="2">
        <f>G11</f>
        <v>-84.900000000000034</v>
      </c>
      <c r="I49" s="2">
        <f>I11</f>
        <v>79928.17</v>
      </c>
      <c r="K49" s="2">
        <f>K11</f>
        <v>80303</v>
      </c>
      <c r="M49" s="2">
        <f>M11</f>
        <v>-374.82999999999583</v>
      </c>
      <c r="O49" s="2">
        <f>O11</f>
        <v>82165</v>
      </c>
    </row>
    <row r="50" spans="1:15" x14ac:dyDescent="0.25">
      <c r="A50" s="1" t="s">
        <v>103</v>
      </c>
      <c r="C50" s="2">
        <f>-C44</f>
        <v>-3613.65</v>
      </c>
      <c r="E50" s="2">
        <f>-E44</f>
        <v>-3650.8333333333335</v>
      </c>
      <c r="G50" s="2">
        <f>-G44</f>
        <v>37.183333333333351</v>
      </c>
      <c r="I50" s="2">
        <f>-I44</f>
        <v>-53515.510000000009</v>
      </c>
      <c r="K50" s="2">
        <f>-K44</f>
        <v>-63312.833333333328</v>
      </c>
      <c r="M50" s="2">
        <f>-M44</f>
        <v>9797.3233333333319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3982.4500000000003</v>
      </c>
      <c r="E52" s="2">
        <f>SUM(E49:E50)</f>
        <v>4030.1666666666665</v>
      </c>
      <c r="G52" s="2">
        <f>SUM(G49:G50)</f>
        <v>-47.716666666666683</v>
      </c>
      <c r="I52" s="2">
        <f>SUM(I49:I50)</f>
        <v>26412.659999999989</v>
      </c>
      <c r="K52" s="2">
        <f>SUM(K49:K50)</f>
        <v>16990.166666666672</v>
      </c>
      <c r="M52" s="2">
        <f>SUM(M49:M50)</f>
        <v>9422.4933333333356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2" fitToHeight="0" orientation="landscape" horizontalDpi="48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K17" sqref="K17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104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2" t="s">
        <v>106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4" t="s">
        <v>15</v>
      </c>
    </row>
    <row r="4" spans="1:15" x14ac:dyDescent="0.25">
      <c r="A4" s="1" t="s">
        <v>105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'April 2013'!I5+C5</f>
        <v>42464.51</v>
      </c>
      <c r="K5" s="2">
        <f>'April 2013'!K5+E5</f>
        <v>40000</v>
      </c>
      <c r="M5" s="6">
        <f t="shared" ref="M5:M9" si="0">I5-K5</f>
        <v>2464.510000000002</v>
      </c>
      <c r="O5" s="2">
        <v>40000</v>
      </c>
    </row>
    <row r="6" spans="1:15" x14ac:dyDescent="0.25">
      <c r="A6" t="s">
        <v>20</v>
      </c>
      <c r="C6" s="2">
        <v>644.44000000000005</v>
      </c>
      <c r="E6" s="2">
        <f>7200/12</f>
        <v>600</v>
      </c>
      <c r="G6" s="6">
        <f t="shared" ref="G6:G9" si="1">C6-E6</f>
        <v>44.440000000000055</v>
      </c>
      <c r="I6" s="2">
        <f>'April 2013'!I6+C6</f>
        <v>10745.320000000002</v>
      </c>
      <c r="K6" s="2">
        <f>'April 2013'!K6+E6</f>
        <v>10593</v>
      </c>
      <c r="M6" s="6">
        <f t="shared" si="0"/>
        <v>152.32000000000153</v>
      </c>
      <c r="O6" s="2">
        <v>11193</v>
      </c>
    </row>
    <row r="7" spans="1:15" x14ac:dyDescent="0.25">
      <c r="A7" t="s">
        <v>19</v>
      </c>
      <c r="C7" s="2">
        <f>15.59+4.23</f>
        <v>19.82</v>
      </c>
      <c r="E7" s="2">
        <f>O7/12</f>
        <v>61</v>
      </c>
      <c r="G7" s="6">
        <f t="shared" si="1"/>
        <v>-41.18</v>
      </c>
      <c r="I7" s="2">
        <f>'April 2013'!I7+C7</f>
        <v>464.06</v>
      </c>
      <c r="K7" s="2">
        <f>'April 2013'!K7+E7</f>
        <v>671</v>
      </c>
      <c r="M7" s="6">
        <f t="shared" si="0"/>
        <v>-206.94</v>
      </c>
      <c r="O7" s="2">
        <v>732</v>
      </c>
    </row>
    <row r="8" spans="1:15" x14ac:dyDescent="0.25">
      <c r="A8" t="s">
        <v>17</v>
      </c>
      <c r="C8" s="2">
        <v>1187.01</v>
      </c>
      <c r="E8" s="2">
        <v>0</v>
      </c>
      <c r="G8" s="6">
        <f t="shared" si="1"/>
        <v>1187.01</v>
      </c>
      <c r="I8" s="2">
        <f>'April 2013'!I8+C8</f>
        <v>25390.05</v>
      </c>
      <c r="K8" s="2">
        <f>'April 2013'!K8+E8</f>
        <v>27000</v>
      </c>
      <c r="M8" s="6">
        <f t="shared" si="0"/>
        <v>-1609.9500000000007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'April 2013'!I9+C9</f>
        <v>2987.0500000000006</v>
      </c>
      <c r="K9" s="2">
        <f>'April 2013'!K9+E9</f>
        <v>2970</v>
      </c>
      <c r="M9" s="6">
        <f t="shared" si="0"/>
        <v>17.050000000000637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2122.8200000000002</v>
      </c>
      <c r="E11" s="2">
        <f>SUM(E5:E10)</f>
        <v>931</v>
      </c>
      <c r="G11" s="2">
        <f>SUM(G5:G10)</f>
        <v>1191.82</v>
      </c>
      <c r="I11" s="2">
        <f>SUM(I5:I10)</f>
        <v>82050.990000000005</v>
      </c>
      <c r="K11" s="2">
        <f>SUM(K5:K10)</f>
        <v>81234</v>
      </c>
      <c r="M11" s="2">
        <f>SUM(M5:M10)</f>
        <v>816.99000000000342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107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'April 2013'!I16+C16</f>
        <v>3300</v>
      </c>
      <c r="K16" s="2">
        <f>'April 2013'!K16+E16</f>
        <v>3300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'April 2013'!I17+C17</f>
        <v>4500</v>
      </c>
      <c r="K17" s="2">
        <f>'April 2013'!K17+E17</f>
        <v>4500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'April 2013'!I18+C18</f>
        <v>1650</v>
      </c>
      <c r="K18" s="2">
        <f>'April 2013'!K18+E18</f>
        <v>2100</v>
      </c>
      <c r="M18" s="6">
        <f t="shared" si="3"/>
        <v>-450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2"/>
        <v>0</v>
      </c>
      <c r="I19" s="2">
        <f>'April 2013'!I19+C19</f>
        <v>167</v>
      </c>
      <c r="K19" s="2">
        <f>'April 2013'!K19+E19</f>
        <v>3375</v>
      </c>
      <c r="M19" s="6">
        <f t="shared" si="3"/>
        <v>-3208</v>
      </c>
      <c r="O19" s="2">
        <v>4500</v>
      </c>
    </row>
    <row r="20" spans="1:15" x14ac:dyDescent="0.25">
      <c r="A20" t="s">
        <v>5</v>
      </c>
      <c r="C20" s="2">
        <v>434.53</v>
      </c>
      <c r="E20" s="2">
        <f>O20/12</f>
        <v>366.66666666666669</v>
      </c>
      <c r="G20" s="6">
        <f t="shared" si="2"/>
        <v>67.863333333333287</v>
      </c>
      <c r="I20" s="2">
        <f>'April 2013'!I20+C20</f>
        <v>4335.62</v>
      </c>
      <c r="K20" s="2">
        <f>'April 2013'!K20+E20</f>
        <v>4033.3333333333326</v>
      </c>
      <c r="M20" s="6">
        <f t="shared" si="3"/>
        <v>302.28666666666732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'April 2013'!I21+C21</f>
        <v>30442.5</v>
      </c>
      <c r="K21" s="2">
        <f>'April 2013'!K21+E21</f>
        <v>30442.5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'April 2013'!I22+C22</f>
        <v>3649</v>
      </c>
      <c r="K22" s="2">
        <f>'April 2013'!K22+E22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'April 2013'!I23+C23</f>
        <v>531</v>
      </c>
      <c r="K23" s="2">
        <f>'April 2013'!K23+E23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'April 2013'!I24+C24</f>
        <v>307.08</v>
      </c>
      <c r="K24" s="2">
        <f>'April 2013'!K24+E24</f>
        <v>335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'April 2013'!I25+C25</f>
        <v>0</v>
      </c>
      <c r="K25" s="2">
        <f>'April 2013'!K25+E25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95</v>
      </c>
      <c r="E26" s="2">
        <v>0</v>
      </c>
      <c r="G26" s="6">
        <f t="shared" si="2"/>
        <v>95</v>
      </c>
      <c r="I26" s="2">
        <f>'April 2013'!I26+C26</f>
        <v>328</v>
      </c>
      <c r="K26" s="2">
        <f>'April 2013'!K26+E26</f>
        <v>1125</v>
      </c>
      <c r="M26" s="6">
        <f t="shared" si="3"/>
        <v>-797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'April 2013'!I27+C27</f>
        <v>1626</v>
      </c>
      <c r="K27" s="2">
        <f>'April 2013'!K27+E27</f>
        <v>5000</v>
      </c>
      <c r="M27" s="6">
        <f t="shared" si="3"/>
        <v>-3374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'April 2013'!I28+C28</f>
        <v>0</v>
      </c>
      <c r="K28" s="2">
        <f>'April 2013'!K28+E28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9.1999999999999993</v>
      </c>
      <c r="E29" s="2">
        <v>0</v>
      </c>
      <c r="G29" s="6">
        <f t="shared" si="2"/>
        <v>9.1999999999999993</v>
      </c>
      <c r="I29" s="2">
        <f>'April 2013'!I29+C29</f>
        <v>109.24</v>
      </c>
      <c r="K29" s="2">
        <f>'April 2013'!K29+E29</f>
        <v>112.5</v>
      </c>
      <c r="M29" s="6">
        <f t="shared" si="3"/>
        <v>-3.2600000000000051</v>
      </c>
      <c r="O29" s="2">
        <v>150</v>
      </c>
    </row>
    <row r="30" spans="1:15" x14ac:dyDescent="0.25">
      <c r="A30" t="s">
        <v>34</v>
      </c>
      <c r="C30" s="2">
        <v>0</v>
      </c>
      <c r="E30" s="2">
        <v>0</v>
      </c>
      <c r="G30" s="6">
        <f t="shared" si="2"/>
        <v>0</v>
      </c>
      <c r="I30" s="2">
        <f>'April 2013'!I30+C30</f>
        <v>521.48</v>
      </c>
      <c r="K30" s="2">
        <f>'April 2013'!K30+E30</f>
        <v>1200</v>
      </c>
      <c r="M30" s="6">
        <f t="shared" si="3"/>
        <v>-678.52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'April 2013'!I31+C31</f>
        <v>950</v>
      </c>
      <c r="K31" s="2">
        <f>'April 2013'!K31+E31</f>
        <v>1500</v>
      </c>
      <c r="M31" s="6">
        <f t="shared" si="3"/>
        <v>-550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'April 2013'!I32+C32</f>
        <v>0</v>
      </c>
      <c r="K32" s="2">
        <f>'April 2013'!K32+E32</f>
        <v>1375</v>
      </c>
      <c r="M32" s="6">
        <f t="shared" si="3"/>
        <v>-1375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'April 2013'!I33+C33</f>
        <v>1821.11</v>
      </c>
      <c r="K33" s="2">
        <f>'April 2013'!K33+E33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4500</v>
      </c>
      <c r="E34" s="2">
        <v>4500</v>
      </c>
      <c r="G34" s="6">
        <f t="shared" si="2"/>
        <v>0</v>
      </c>
      <c r="I34" s="2">
        <f>'April 2013'!I34+C34</f>
        <v>5400</v>
      </c>
      <c r="K34" s="2">
        <f>'April 2013'!K34+E34</f>
        <v>5400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'April 2013'!I35+C35</f>
        <v>0</v>
      </c>
      <c r="K35" s="2">
        <f>'April 2013'!K35+E35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'April 2013'!I37+C37</f>
        <v>550</v>
      </c>
      <c r="K37" s="2">
        <f>'April 2013'!K37+E37</f>
        <v>550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'April 2013'!I38+C38</f>
        <v>238</v>
      </c>
      <c r="K38" s="2">
        <f>'April 2013'!K38+E38</f>
        <v>255</v>
      </c>
      <c r="M38" s="6">
        <f t="shared" si="3"/>
        <v>-17</v>
      </c>
      <c r="O38" s="2">
        <v>425</v>
      </c>
      <c r="P38" t="s">
        <v>25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'April 2013'!I39+C39</f>
        <v>101.8</v>
      </c>
      <c r="K39" s="2">
        <f>'April 2013'!K39+E39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36</v>
      </c>
      <c r="E40" s="2">
        <v>0</v>
      </c>
      <c r="G40" s="6">
        <f t="shared" si="2"/>
        <v>36</v>
      </c>
      <c r="I40" s="2">
        <f>'April 2013'!I40+C40</f>
        <v>91.68</v>
      </c>
      <c r="K40" s="2">
        <f>'April 2013'!K40+E40</f>
        <v>200</v>
      </c>
      <c r="M40" s="6">
        <f t="shared" si="3"/>
        <v>-108.32</v>
      </c>
      <c r="O40" s="2">
        <v>200</v>
      </c>
    </row>
    <row r="41" spans="1:16" x14ac:dyDescent="0.25">
      <c r="A41" t="s">
        <v>43</v>
      </c>
      <c r="C41" s="2">
        <v>128.76</v>
      </c>
      <c r="E41" s="2">
        <v>250</v>
      </c>
      <c r="G41" s="6">
        <f t="shared" si="2"/>
        <v>-121.24000000000001</v>
      </c>
      <c r="I41" s="2">
        <f>'April 2013'!I41+C41</f>
        <v>128.76</v>
      </c>
      <c r="K41" s="2">
        <f>'April 2013'!K41+E41</f>
        <v>250</v>
      </c>
      <c r="M41" s="6">
        <f t="shared" si="3"/>
        <v>-121.24000000000001</v>
      </c>
      <c r="O41" s="2">
        <v>250</v>
      </c>
    </row>
    <row r="42" spans="1:16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'April 2013'!I42+C42</f>
        <v>1088.23</v>
      </c>
      <c r="K42" s="2">
        <f>'April 2013'!K42+E42</f>
        <v>458.33333333333337</v>
      </c>
      <c r="M42" s="6">
        <f t="shared" si="3"/>
        <v>629.89666666666665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108</v>
      </c>
      <c r="C44" s="2">
        <f>SUM(C16:C43)</f>
        <v>8320.99</v>
      </c>
      <c r="E44" s="2">
        <f>SUM(E16:E43)</f>
        <v>8400.8333333333339</v>
      </c>
      <c r="G44" s="2">
        <f>SUM(G16:G43)</f>
        <v>-79.843333333333391</v>
      </c>
      <c r="I44" s="2">
        <f>SUM(I16:I43)</f>
        <v>61836.500000000007</v>
      </c>
      <c r="K44" s="2">
        <f>SUM(K16:K43)</f>
        <v>71713.666666666657</v>
      </c>
      <c r="M44" s="2">
        <f>SUM(M16:M43)</f>
        <v>-9877.1666666666661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109</v>
      </c>
      <c r="C49" s="2">
        <f>C11</f>
        <v>2122.8200000000002</v>
      </c>
      <c r="E49" s="2">
        <f>E11</f>
        <v>931</v>
      </c>
      <c r="G49" s="2">
        <f>G11</f>
        <v>1191.82</v>
      </c>
      <c r="I49" s="2">
        <f>I11</f>
        <v>82050.990000000005</v>
      </c>
      <c r="K49" s="2">
        <f>K11</f>
        <v>81234</v>
      </c>
      <c r="M49" s="2">
        <f>M11</f>
        <v>816.99000000000342</v>
      </c>
      <c r="O49" s="2">
        <f>O11</f>
        <v>82165</v>
      </c>
    </row>
    <row r="50" spans="1:15" x14ac:dyDescent="0.25">
      <c r="A50" s="1" t="s">
        <v>110</v>
      </c>
      <c r="C50" s="2">
        <f>-C44</f>
        <v>-8320.99</v>
      </c>
      <c r="E50" s="2">
        <f>-E44</f>
        <v>-8400.8333333333339</v>
      </c>
      <c r="G50" s="2">
        <f>-G44</f>
        <v>79.843333333333391</v>
      </c>
      <c r="I50" s="2">
        <f>-I44</f>
        <v>-61836.500000000007</v>
      </c>
      <c r="K50" s="2">
        <f>-K44</f>
        <v>-71713.666666666657</v>
      </c>
      <c r="M50" s="2">
        <f>-M44</f>
        <v>9877.1666666666661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-6198.17</v>
      </c>
      <c r="E52" s="2">
        <f>SUM(E49:E50)</f>
        <v>-7469.8333333333339</v>
      </c>
      <c r="G52" s="2">
        <f>SUM(G49:G50)</f>
        <v>1271.6633333333334</v>
      </c>
      <c r="I52" s="2">
        <f>SUM(I49:I50)</f>
        <v>20214.489999999998</v>
      </c>
      <c r="K52" s="2">
        <f>SUM(K49:K50)</f>
        <v>9520.333333333343</v>
      </c>
      <c r="M52" s="2">
        <f>SUM(M49:M50)</f>
        <v>10694.156666666669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.25" bottom="0.25" header="0.3" footer="0.3"/>
  <pageSetup scale="76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selection activeCell="K40" sqref="K4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111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2" t="s">
        <v>106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4" t="s">
        <v>15</v>
      </c>
    </row>
    <row r="4" spans="1:15" x14ac:dyDescent="0.25">
      <c r="A4" s="1" t="s">
        <v>112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'May 2013'!I5+C5</f>
        <v>42464.51</v>
      </c>
      <c r="K5" s="2">
        <f>'May 2013'!K5+E5</f>
        <v>40000</v>
      </c>
      <c r="M5" s="6">
        <f t="shared" ref="M5:M9" si="0">I5-K5</f>
        <v>2464.510000000002</v>
      </c>
      <c r="O5" s="2">
        <v>40000</v>
      </c>
    </row>
    <row r="6" spans="1:15" x14ac:dyDescent="0.25">
      <c r="A6" t="s">
        <v>20</v>
      </c>
      <c r="C6" s="2">
        <v>668.57</v>
      </c>
      <c r="E6" s="2">
        <f>7200/12</f>
        <v>600</v>
      </c>
      <c r="G6" s="6">
        <f t="shared" ref="G6:G9" si="1">C6-E6</f>
        <v>68.57000000000005</v>
      </c>
      <c r="I6" s="2">
        <f>'May 2013'!I6+C6</f>
        <v>11413.890000000001</v>
      </c>
      <c r="K6" s="2">
        <f>'May 2013'!K6+E6</f>
        <v>11193</v>
      </c>
      <c r="M6" s="6">
        <f t="shared" si="0"/>
        <v>220.89000000000124</v>
      </c>
      <c r="O6" s="2">
        <v>11193</v>
      </c>
    </row>
    <row r="7" spans="1:15" x14ac:dyDescent="0.25">
      <c r="A7" t="s">
        <v>19</v>
      </c>
      <c r="C7" s="2">
        <f>15.05+5.81</f>
        <v>20.86</v>
      </c>
      <c r="E7" s="2">
        <f>O7/12</f>
        <v>61</v>
      </c>
      <c r="G7" s="6">
        <f t="shared" si="1"/>
        <v>-40.14</v>
      </c>
      <c r="I7" s="2">
        <f>'May 2013'!I7+C7</f>
        <v>484.92</v>
      </c>
      <c r="K7" s="2">
        <f>'May 2013'!K7+E7</f>
        <v>732</v>
      </c>
      <c r="M7" s="6">
        <f t="shared" si="0"/>
        <v>-247.07999999999998</v>
      </c>
      <c r="O7" s="2">
        <v>732</v>
      </c>
    </row>
    <row r="8" spans="1:15" x14ac:dyDescent="0.25">
      <c r="A8" t="s">
        <v>17</v>
      </c>
      <c r="C8" s="2">
        <v>0</v>
      </c>
      <c r="E8" s="2">
        <v>0</v>
      </c>
      <c r="G8" s="6">
        <f t="shared" si="1"/>
        <v>0</v>
      </c>
      <c r="I8" s="2">
        <f>'May 2013'!I8+C8</f>
        <v>25390.05</v>
      </c>
      <c r="K8" s="2">
        <f>'May 2013'!K8+E8</f>
        <v>27000</v>
      </c>
      <c r="M8" s="6">
        <f t="shared" si="0"/>
        <v>-1609.9500000000007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'May 2013'!I9+C9</f>
        <v>3258.6000000000008</v>
      </c>
      <c r="K9" s="2">
        <f>'May 2013'!K9+E9</f>
        <v>3240</v>
      </c>
      <c r="M9" s="6">
        <f t="shared" si="0"/>
        <v>18.600000000000819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960.98</v>
      </c>
      <c r="E11" s="2">
        <f>SUM(E5:E10)</f>
        <v>931</v>
      </c>
      <c r="G11" s="2">
        <f>SUM(G5:G10)</f>
        <v>29.980000000000061</v>
      </c>
      <c r="I11" s="2">
        <f>SUM(I5:I10)</f>
        <v>83011.97</v>
      </c>
      <c r="K11" s="2">
        <f>SUM(K5:K10)</f>
        <v>82165</v>
      </c>
      <c r="M11" s="2">
        <f>SUM(M5:M10)</f>
        <v>846.97000000000344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113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'May 2013'!I16+C16</f>
        <v>3600</v>
      </c>
      <c r="K16" s="2">
        <f>'May 2013'!K16+E16</f>
        <v>3600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1500</v>
      </c>
      <c r="E17" s="2">
        <v>1500</v>
      </c>
      <c r="G17" s="6">
        <f t="shared" si="2"/>
        <v>0</v>
      </c>
      <c r="I17" s="2">
        <f>'May 2013'!I17+C17</f>
        <v>6000</v>
      </c>
      <c r="K17" s="2">
        <f>'May 2013'!K17+E17</f>
        <v>6000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f>225+225+150+150</f>
        <v>750</v>
      </c>
      <c r="E18" s="2">
        <f>225*4</f>
        <v>900</v>
      </c>
      <c r="G18" s="6">
        <f t="shared" si="2"/>
        <v>-150</v>
      </c>
      <c r="I18" s="2">
        <f>'May 2013'!I18+C18</f>
        <v>2400</v>
      </c>
      <c r="K18" s="2">
        <f>'May 2013'!K18+E18</f>
        <v>3000</v>
      </c>
      <c r="M18" s="6">
        <f t="shared" si="3"/>
        <v>-600</v>
      </c>
      <c r="O18" s="2">
        <v>3000</v>
      </c>
    </row>
    <row r="19" spans="1:15" x14ac:dyDescent="0.25">
      <c r="A19" t="s">
        <v>4</v>
      </c>
      <c r="C19" s="2">
        <v>0</v>
      </c>
      <c r="E19" s="2">
        <f>O19/4</f>
        <v>1125</v>
      </c>
      <c r="G19" s="6">
        <f t="shared" si="2"/>
        <v>-1125</v>
      </c>
      <c r="I19" s="2">
        <f>'May 2013'!I19+C19</f>
        <v>167</v>
      </c>
      <c r="K19" s="2">
        <f>'May 2013'!K19+E19</f>
        <v>4500</v>
      </c>
      <c r="M19" s="6">
        <f t="shared" si="3"/>
        <v>-4333</v>
      </c>
      <c r="O19" s="2">
        <v>4500</v>
      </c>
    </row>
    <row r="20" spans="1:15" x14ac:dyDescent="0.25">
      <c r="A20" t="s">
        <v>5</v>
      </c>
      <c r="C20" s="2">
        <v>436.42</v>
      </c>
      <c r="E20" s="2">
        <f>O20/12</f>
        <v>366.66666666666669</v>
      </c>
      <c r="G20" s="6">
        <f t="shared" si="2"/>
        <v>69.75333333333333</v>
      </c>
      <c r="I20" s="2">
        <f>'May 2013'!I20+C20</f>
        <v>4772.04</v>
      </c>
      <c r="K20" s="2">
        <f>'May 2013'!K20+E20</f>
        <v>4399.9999999999991</v>
      </c>
      <c r="M20" s="6">
        <f t="shared" si="3"/>
        <v>372.04000000000087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'May 2013'!I21+C21</f>
        <v>33210</v>
      </c>
      <c r="K21" s="2">
        <f>'May 2013'!K21+E21</f>
        <v>33210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'May 2013'!I22+C22</f>
        <v>3649</v>
      </c>
      <c r="K22" s="2">
        <f>'May 2013'!K22+E22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'May 2013'!I23+C23</f>
        <v>531</v>
      </c>
      <c r="K23" s="2">
        <f>'May 2013'!K23+E23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100</v>
      </c>
      <c r="E24" s="2">
        <v>100</v>
      </c>
      <c r="G24" s="6">
        <f t="shared" si="2"/>
        <v>0</v>
      </c>
      <c r="I24" s="2">
        <f>'May 2013'!I24+C24</f>
        <v>407.08</v>
      </c>
      <c r="K24" s="2">
        <f>'May 2013'!K24+E24</f>
        <v>435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'May 2013'!I25+C25</f>
        <v>0</v>
      </c>
      <c r="K25" s="2">
        <v>4000</v>
      </c>
      <c r="M25" s="6">
        <f t="shared" si="3"/>
        <v>-4000</v>
      </c>
      <c r="O25" s="2">
        <v>4000</v>
      </c>
    </row>
    <row r="26" spans="1:15" x14ac:dyDescent="0.25">
      <c r="A26" t="s">
        <v>32</v>
      </c>
      <c r="C26" s="2">
        <v>0</v>
      </c>
      <c r="E26" s="2">
        <f>O26/4</f>
        <v>375</v>
      </c>
      <c r="G26" s="6">
        <f t="shared" si="2"/>
        <v>-375</v>
      </c>
      <c r="I26" s="2">
        <f>'May 2013'!I26+C26</f>
        <v>328</v>
      </c>
      <c r="K26" s="2">
        <f>'May 2013'!K26+E26</f>
        <v>1500</v>
      </c>
      <c r="M26" s="6">
        <f t="shared" si="3"/>
        <v>-1172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'May 2013'!I27+C27</f>
        <v>1626</v>
      </c>
      <c r="K27" s="2">
        <f>'May 2013'!K27+E27</f>
        <v>5000</v>
      </c>
      <c r="M27" s="6">
        <f t="shared" si="3"/>
        <v>-3374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'May 2013'!I28+C28</f>
        <v>0</v>
      </c>
      <c r="K28" s="2">
        <v>2000</v>
      </c>
      <c r="M28" s="6">
        <f t="shared" si="3"/>
        <v>-2000</v>
      </c>
      <c r="O28" s="2">
        <v>2000</v>
      </c>
    </row>
    <row r="29" spans="1:15" x14ac:dyDescent="0.25">
      <c r="A29" t="s">
        <v>33</v>
      </c>
      <c r="C29" s="2">
        <v>0</v>
      </c>
      <c r="E29" s="2">
        <f>O29/4</f>
        <v>37.5</v>
      </c>
      <c r="G29" s="6">
        <f t="shared" si="2"/>
        <v>-37.5</v>
      </c>
      <c r="I29" s="2">
        <f>'May 2013'!I29+C29</f>
        <v>109.24</v>
      </c>
      <c r="K29" s="2">
        <f>'May 2013'!K29+E29</f>
        <v>150</v>
      </c>
      <c r="M29" s="6">
        <f t="shared" si="3"/>
        <v>-40.760000000000005</v>
      </c>
      <c r="O29" s="2">
        <v>150</v>
      </c>
    </row>
    <row r="30" spans="1:15" x14ac:dyDescent="0.25">
      <c r="A30" t="s">
        <v>34</v>
      </c>
      <c r="C30" s="2">
        <v>298.63</v>
      </c>
      <c r="E30" s="2">
        <v>0</v>
      </c>
      <c r="G30" s="6">
        <f t="shared" si="2"/>
        <v>298.63</v>
      </c>
      <c r="I30" s="2">
        <f>'May 2013'!I30+C30</f>
        <v>820.11</v>
      </c>
      <c r="K30" s="2">
        <f>'May 2013'!K30+E30</f>
        <v>1200</v>
      </c>
      <c r="M30" s="6">
        <f t="shared" si="3"/>
        <v>-379.89</v>
      </c>
      <c r="O30" s="2">
        <v>1200</v>
      </c>
    </row>
    <row r="31" spans="1:15" x14ac:dyDescent="0.25">
      <c r="A31" t="s">
        <v>12</v>
      </c>
      <c r="C31" s="2">
        <v>0</v>
      </c>
      <c r="E31" s="2">
        <f>O31/4</f>
        <v>500</v>
      </c>
      <c r="G31" s="6">
        <f t="shared" si="2"/>
        <v>-500</v>
      </c>
      <c r="I31" s="2">
        <f>'May 2013'!I31+C31</f>
        <v>950</v>
      </c>
      <c r="K31" s="2">
        <f>'May 2013'!K31+E31</f>
        <v>2000</v>
      </c>
      <c r="M31" s="6">
        <f t="shared" si="3"/>
        <v>-1050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'May 2013'!I32+C32</f>
        <v>0</v>
      </c>
      <c r="K32" s="2">
        <f>'May 2013'!K32+E32</f>
        <v>1500</v>
      </c>
      <c r="M32" s="6">
        <f t="shared" si="3"/>
        <v>-1500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'May 2013'!I33+C33</f>
        <v>1821.11</v>
      </c>
      <c r="K33" s="2">
        <f>'May 2013'!K33+E33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985</v>
      </c>
      <c r="E34" s="2">
        <v>985</v>
      </c>
      <c r="G34" s="6">
        <f t="shared" si="2"/>
        <v>0</v>
      </c>
      <c r="I34" s="2">
        <f>'May 2013'!I34+C34</f>
        <v>6385</v>
      </c>
      <c r="K34" s="2">
        <v>10000</v>
      </c>
      <c r="M34" s="6">
        <f t="shared" si="3"/>
        <v>-3615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'May 2013'!I35+C35</f>
        <v>0</v>
      </c>
      <c r="K35" s="2">
        <v>750</v>
      </c>
      <c r="M35" s="6">
        <f t="shared" si="3"/>
        <v>-750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'May 2013'!I37+C37</f>
        <v>600</v>
      </c>
      <c r="K37" s="2">
        <f>'May 2013'!K37+E37</f>
        <v>600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102</v>
      </c>
      <c r="E38" s="2">
        <f>10*17</f>
        <v>170</v>
      </c>
      <c r="G38" s="6">
        <f t="shared" si="2"/>
        <v>-68</v>
      </c>
      <c r="I38" s="2">
        <f>'May 2013'!I38+C38</f>
        <v>340</v>
      </c>
      <c r="K38" s="2">
        <f>'May 2013'!K38+E38</f>
        <v>425</v>
      </c>
      <c r="M38" s="6">
        <f t="shared" si="3"/>
        <v>-85</v>
      </c>
      <c r="O38" s="2">
        <v>425</v>
      </c>
      <c r="P38" t="s">
        <v>25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'May 2013'!I39+C39</f>
        <v>101.8</v>
      </c>
      <c r="K39" s="2">
        <f>'May 2013'!K39+E39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'May 2013'!I40+C40</f>
        <v>91.68</v>
      </c>
      <c r="K40" s="2">
        <f>'May 2013'!K40+E40</f>
        <v>200</v>
      </c>
      <c r="M40" s="6">
        <f t="shared" si="3"/>
        <v>-108.32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'May 2013'!I41+C41</f>
        <v>128.76</v>
      </c>
      <c r="K41" s="2">
        <f>'May 2013'!K41+E41</f>
        <v>250</v>
      </c>
      <c r="M41" s="6">
        <f t="shared" si="3"/>
        <v>-121.24000000000001</v>
      </c>
      <c r="O41" s="2">
        <v>250</v>
      </c>
    </row>
    <row r="42" spans="1:16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'May 2013'!I42+C42</f>
        <v>1088.23</v>
      </c>
      <c r="K42" s="2">
        <f>'May 2013'!K42+E42</f>
        <v>500.00000000000006</v>
      </c>
      <c r="M42" s="6">
        <f t="shared" si="3"/>
        <v>588.23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108</v>
      </c>
      <c r="C44" s="2">
        <f>SUM(C16:C43)</f>
        <v>7289.55</v>
      </c>
      <c r="E44" s="2">
        <f>SUM(E16:E43)</f>
        <v>9343.3333333333339</v>
      </c>
      <c r="G44" s="2">
        <f>SUM(G16:G43)</f>
        <v>-2053.7833333333333</v>
      </c>
      <c r="I44" s="2">
        <f>SUM(I16:I43)</f>
        <v>69126.049999999988</v>
      </c>
      <c r="K44" s="2">
        <f>SUM(K16:K43)</f>
        <v>91422</v>
      </c>
      <c r="M44" s="2">
        <f>SUM(M16:M43)</f>
        <v>-22295.95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109</v>
      </c>
      <c r="C49" s="2">
        <f>C11</f>
        <v>960.98</v>
      </c>
      <c r="E49" s="2">
        <f>E11</f>
        <v>931</v>
      </c>
      <c r="G49" s="2">
        <f>G11</f>
        <v>29.980000000000061</v>
      </c>
      <c r="I49" s="2">
        <f>I11</f>
        <v>83011.97</v>
      </c>
      <c r="K49" s="2">
        <f>K11</f>
        <v>82165</v>
      </c>
      <c r="M49" s="2">
        <f>M11</f>
        <v>846.97000000000344</v>
      </c>
      <c r="O49" s="2">
        <f>O11</f>
        <v>82165</v>
      </c>
    </row>
    <row r="50" spans="1:15" x14ac:dyDescent="0.25">
      <c r="A50" s="1" t="s">
        <v>110</v>
      </c>
      <c r="C50" s="2">
        <f>-C44</f>
        <v>-7289.55</v>
      </c>
      <c r="E50" s="2">
        <f>-E44</f>
        <v>-9343.3333333333339</v>
      </c>
      <c r="G50" s="2">
        <f>-G44</f>
        <v>2053.7833333333333</v>
      </c>
      <c r="I50" s="2">
        <f>-I44</f>
        <v>-69126.049999999988</v>
      </c>
      <c r="K50" s="2">
        <f>-K44</f>
        <v>-91422</v>
      </c>
      <c r="M50" s="2">
        <f>-M44</f>
        <v>22295.95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-6328.57</v>
      </c>
      <c r="E52" s="2">
        <f>SUM(E49:E50)</f>
        <v>-8412.3333333333339</v>
      </c>
      <c r="G52" s="2">
        <f>SUM(G49:G50)</f>
        <v>2083.7633333333333</v>
      </c>
      <c r="I52" s="2">
        <f>SUM(I49:I50)</f>
        <v>13885.920000000013</v>
      </c>
      <c r="K52" s="2">
        <f>SUM(K49:K50)</f>
        <v>-9257</v>
      </c>
      <c r="M52" s="2">
        <f>SUM(M49:M50)</f>
        <v>23142.920000000006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0" workbookViewId="0">
      <selection activeCell="E38" sqref="E38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48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49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'July 2012'!C5+C5</f>
        <v>335.16</v>
      </c>
      <c r="K5" s="2">
        <f>'July 2012'!E5+E5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f>543.85+624.45</f>
        <v>1168.3000000000002</v>
      </c>
      <c r="E6" s="2">
        <f>7200/12</f>
        <v>600</v>
      </c>
      <c r="G6" s="6">
        <f t="shared" ref="G6:G9" si="1">C6-E6</f>
        <v>568.30000000000018</v>
      </c>
      <c r="I6" s="2">
        <f>'July 2012'!C6+C6</f>
        <v>1168.3000000000002</v>
      </c>
      <c r="K6" s="2">
        <f>'July 2012'!E6+E6</f>
        <v>1200</v>
      </c>
      <c r="M6" s="6">
        <f t="shared" si="0"/>
        <v>-31.699999999999818</v>
      </c>
      <c r="O6" s="2">
        <v>11193</v>
      </c>
    </row>
    <row r="7" spans="1:15" x14ac:dyDescent="0.25">
      <c r="A7" t="s">
        <v>19</v>
      </c>
      <c r="C7" s="2">
        <f>16.29+5.09+23.31</f>
        <v>44.69</v>
      </c>
      <c r="E7" s="2">
        <f>O7/12</f>
        <v>61</v>
      </c>
      <c r="G7" s="6">
        <f t="shared" si="1"/>
        <v>-16.310000000000002</v>
      </c>
      <c r="I7" s="2">
        <f>'July 2012'!C7+C7</f>
        <v>90.41</v>
      </c>
      <c r="K7" s="2">
        <f>'July 2012'!E7+E7</f>
        <v>122</v>
      </c>
      <c r="M7" s="6">
        <f t="shared" si="0"/>
        <v>-31.590000000000003</v>
      </c>
      <c r="O7" s="2">
        <v>732</v>
      </c>
    </row>
    <row r="8" spans="1:15" x14ac:dyDescent="0.25">
      <c r="A8" t="s">
        <v>17</v>
      </c>
      <c r="C8" s="2">
        <f>2208.7+3769.33</f>
        <v>5978.03</v>
      </c>
      <c r="E8" s="2">
        <f>O8/4</f>
        <v>6750</v>
      </c>
      <c r="G8" s="6">
        <f t="shared" si="1"/>
        <v>-771.97000000000025</v>
      </c>
      <c r="I8" s="2">
        <f>'July 2012'!C8+C8</f>
        <v>5978.03</v>
      </c>
      <c r="K8" s="2">
        <f>'July 2012'!E8+E8</f>
        <v>6750</v>
      </c>
      <c r="M8" s="6">
        <f t="shared" si="0"/>
        <v>-771.97000000000025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'July 2012'!C9+C9</f>
        <v>543.1</v>
      </c>
      <c r="K9" s="2">
        <f>'July 2012'!E9+E9</f>
        <v>540</v>
      </c>
      <c r="M9" s="6">
        <f t="shared" si="0"/>
        <v>3.1000000000000227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7462.5700000000006</v>
      </c>
      <c r="E11" s="2">
        <f>SUM(E5:E10)</f>
        <v>7681</v>
      </c>
      <c r="G11" s="2">
        <f>SUM(G5:G10)</f>
        <v>-218.43</v>
      </c>
      <c r="I11" s="2">
        <f>SUM(I5:I10)</f>
        <v>8115</v>
      </c>
      <c r="K11" s="2">
        <f>SUM(K5:K10)</f>
        <v>8612</v>
      </c>
      <c r="M11" s="2">
        <f>SUM(M5:M10)</f>
        <v>-497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50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'July 2012'!C16+C16</f>
        <v>600</v>
      </c>
      <c r="K16" s="2">
        <f>'July 2012'!E16+E16</f>
        <v>600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'July 2012'!C17+C17</f>
        <v>0</v>
      </c>
      <c r="K17" s="2">
        <f>'July 2012'!E17+E17</f>
        <v>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'July 2012'!C18+C18</f>
        <v>0</v>
      </c>
      <c r="K18" s="2">
        <f>'July 2012'!E18+E18</f>
        <v>0</v>
      </c>
      <c r="M18" s="6">
        <f t="shared" si="3"/>
        <v>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2"/>
        <v>0</v>
      </c>
      <c r="I19" s="2">
        <f>'July 2012'!C19+C19</f>
        <v>0</v>
      </c>
      <c r="K19" s="2">
        <f>'July 2012'!E19+E19</f>
        <v>0</v>
      </c>
      <c r="M19" s="6">
        <f t="shared" si="3"/>
        <v>0</v>
      </c>
      <c r="O19" s="2">
        <v>4500</v>
      </c>
    </row>
    <row r="20" spans="1:15" x14ac:dyDescent="0.25">
      <c r="A20" t="s">
        <v>5</v>
      </c>
      <c r="C20" s="2">
        <v>370.14</v>
      </c>
      <c r="E20" s="2">
        <f>O20/12</f>
        <v>366.66666666666669</v>
      </c>
      <c r="G20" s="6">
        <f t="shared" si="2"/>
        <v>3.4733333333333007</v>
      </c>
      <c r="I20" s="2">
        <f>'July 2012'!C20+C20</f>
        <v>739.34999999999991</v>
      </c>
      <c r="K20" s="2">
        <f>'July 2012'!E20+E20</f>
        <v>733.33333333333337</v>
      </c>
      <c r="M20" s="6">
        <f t="shared" si="3"/>
        <v>6.0166666666665378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'July 2012'!C21+C21</f>
        <v>5535</v>
      </c>
      <c r="K21" s="2">
        <f>'July 2012'!E21+E21</f>
        <v>5535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'July 2012'!C22+C22</f>
        <v>3649</v>
      </c>
      <c r="K22" s="2">
        <f>'July 2012'!E22+E22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'July 2012'!C23+C23</f>
        <v>531</v>
      </c>
      <c r="K23" s="2">
        <f>'July 2012'!E23+E23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'July 2012'!C24+C24</f>
        <v>0</v>
      </c>
      <c r="K24" s="2">
        <f>'July 2012'!E24+E24</f>
        <v>0</v>
      </c>
      <c r="M24" s="6">
        <f t="shared" si="3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'July 2012'!C25+C25</f>
        <v>0</v>
      </c>
      <c r="K25" s="2">
        <f>'July 2012'!E25+E25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'July 2012'!C26+C26</f>
        <v>0</v>
      </c>
      <c r="K26" s="2">
        <f>'July 2012'!E26+E26</f>
        <v>0</v>
      </c>
      <c r="M26" s="6">
        <f t="shared" si="3"/>
        <v>0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'July 2012'!C27+C27</f>
        <v>0</v>
      </c>
      <c r="K27" s="2">
        <f>'July 2012'!E27+E27</f>
        <v>0</v>
      </c>
      <c r="M27" s="6">
        <f t="shared" si="3"/>
        <v>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'July 2012'!C28+C28</f>
        <v>0</v>
      </c>
      <c r="K28" s="2">
        <f>'July 2012'!E28+E28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14.75</v>
      </c>
      <c r="E29" s="2">
        <v>0</v>
      </c>
      <c r="G29" s="6">
        <f t="shared" si="2"/>
        <v>14.75</v>
      </c>
      <c r="I29" s="2">
        <f>'July 2012'!C29+C29</f>
        <v>14.75</v>
      </c>
      <c r="K29" s="2">
        <f>'July 2012'!E29+E29</f>
        <v>0</v>
      </c>
      <c r="M29" s="6">
        <f t="shared" si="3"/>
        <v>14.75</v>
      </c>
      <c r="O29" s="2">
        <v>150</v>
      </c>
    </row>
    <row r="30" spans="1:15" x14ac:dyDescent="0.25">
      <c r="A30" t="s">
        <v>34</v>
      </c>
      <c r="C30" s="2">
        <v>0</v>
      </c>
      <c r="E30" s="2">
        <f>I30/4</f>
        <v>0</v>
      </c>
      <c r="G30" s="6">
        <f t="shared" si="2"/>
        <v>0</v>
      </c>
      <c r="I30" s="2">
        <f>'July 2012'!C30+C30</f>
        <v>0</v>
      </c>
      <c r="K30" s="2">
        <f>'July 2012'!E30+E30</f>
        <v>300</v>
      </c>
      <c r="M30" s="6">
        <f t="shared" si="3"/>
        <v>-300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'July 2012'!C31+C31</f>
        <v>0</v>
      </c>
      <c r="K31" s="2">
        <f>'July 2012'!E31+E31</f>
        <v>0</v>
      </c>
      <c r="M31" s="6">
        <f t="shared" si="3"/>
        <v>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'July 2012'!C32+C32</f>
        <v>0</v>
      </c>
      <c r="K32" s="2">
        <f>'July 2012'!E32+E32</f>
        <v>250</v>
      </c>
      <c r="M32" s="6">
        <f t="shared" si="3"/>
        <v>-250</v>
      </c>
      <c r="O32" s="2">
        <v>1500</v>
      </c>
    </row>
    <row r="33" spans="1:15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'July 2012'!C33+C33</f>
        <v>0</v>
      </c>
      <c r="K33" s="2">
        <f>'July 2012'!E33+E33</f>
        <v>0</v>
      </c>
      <c r="M33" s="6">
        <f t="shared" si="3"/>
        <v>0</v>
      </c>
      <c r="O33" s="2">
        <v>1800</v>
      </c>
    </row>
    <row r="34" spans="1:15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'July 2012'!C34+C34</f>
        <v>0</v>
      </c>
      <c r="K34" s="2">
        <f>'July 2012'!E34+E34</f>
        <v>0</v>
      </c>
      <c r="M34" s="6">
        <f t="shared" si="3"/>
        <v>0</v>
      </c>
      <c r="O34" s="2">
        <v>10000</v>
      </c>
    </row>
    <row r="35" spans="1:15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'July 2012'!C35+C35</f>
        <v>0</v>
      </c>
      <c r="K35" s="2">
        <f>'July 2012'!E35+E35</f>
        <v>0</v>
      </c>
      <c r="M35" s="6">
        <f t="shared" si="3"/>
        <v>0</v>
      </c>
      <c r="O35" s="2">
        <v>750</v>
      </c>
    </row>
    <row r="36" spans="1:15" x14ac:dyDescent="0.25">
      <c r="A36" t="s">
        <v>38</v>
      </c>
      <c r="G36" s="6" t="s">
        <v>25</v>
      </c>
      <c r="I36" s="2">
        <f>'July 2012'!C36+C36</f>
        <v>0</v>
      </c>
      <c r="K36" s="2">
        <f>'July 2012'!E36+E36</f>
        <v>0</v>
      </c>
      <c r="M36" s="6" t="s">
        <v>25</v>
      </c>
      <c r="O36" s="2"/>
    </row>
    <row r="37" spans="1:15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'July 2012'!C37+C37</f>
        <v>100</v>
      </c>
      <c r="K37" s="2">
        <f>'July 2012'!E37+E37</f>
        <v>100</v>
      </c>
      <c r="M37" s="6">
        <f t="shared" si="3"/>
        <v>0</v>
      </c>
      <c r="O37" s="2">
        <v>600</v>
      </c>
    </row>
    <row r="38" spans="1:15" x14ac:dyDescent="0.25">
      <c r="A38" t="s">
        <v>40</v>
      </c>
      <c r="C38" s="2">
        <v>119</v>
      </c>
      <c r="E38" s="2">
        <f>5*17</f>
        <v>85</v>
      </c>
      <c r="G38" s="6">
        <f t="shared" si="2"/>
        <v>34</v>
      </c>
      <c r="I38" s="2">
        <f>'July 2012'!C38+C38</f>
        <v>119</v>
      </c>
      <c r="K38" s="2">
        <f>'July 2012'!E38+E38</f>
        <v>153</v>
      </c>
      <c r="M38" s="6">
        <f t="shared" si="3"/>
        <v>-34</v>
      </c>
      <c r="O38" s="2">
        <v>425</v>
      </c>
    </row>
    <row r="39" spans="1:15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'July 2012'!C39+C39</f>
        <v>0</v>
      </c>
      <c r="K39" s="2">
        <f>'July 2012'!E39+E39</f>
        <v>0</v>
      </c>
      <c r="M39" s="6">
        <f t="shared" si="3"/>
        <v>0</v>
      </c>
      <c r="O39" s="2">
        <v>102</v>
      </c>
    </row>
    <row r="40" spans="1:15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'July 2012'!C40+C40</f>
        <v>0</v>
      </c>
      <c r="K40" s="2">
        <f>'July 2012'!E40+E40</f>
        <v>0</v>
      </c>
      <c r="M40" s="6">
        <f t="shared" si="3"/>
        <v>0</v>
      </c>
      <c r="O40" s="2">
        <v>200</v>
      </c>
    </row>
    <row r="41" spans="1:15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'July 2012'!C41+C41</f>
        <v>0</v>
      </c>
      <c r="K41" s="2">
        <f>'July 2012'!E41+E41</f>
        <v>0</v>
      </c>
      <c r="M41" s="6">
        <f t="shared" si="3"/>
        <v>0</v>
      </c>
      <c r="O41" s="2">
        <v>250</v>
      </c>
    </row>
    <row r="42" spans="1:15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'July 2012'!C42+C42</f>
        <v>0</v>
      </c>
      <c r="K42" s="2">
        <f>'July 2012'!E42+E42</f>
        <v>83.333333333333329</v>
      </c>
      <c r="M42" s="6">
        <f t="shared" si="3"/>
        <v>-83.333333333333329</v>
      </c>
      <c r="O42" s="2">
        <v>500</v>
      </c>
    </row>
    <row r="43" spans="1:15" x14ac:dyDescent="0.25">
      <c r="G43" s="6"/>
      <c r="K43" s="2"/>
      <c r="O43" s="2"/>
    </row>
    <row r="44" spans="1:15" x14ac:dyDescent="0.25">
      <c r="A44" s="1" t="s">
        <v>51</v>
      </c>
      <c r="C44" s="2">
        <f>SUM(C16:C43)</f>
        <v>3621.39</v>
      </c>
      <c r="E44" s="2">
        <f>SUM(E16:E43)</f>
        <v>3735.8333333333335</v>
      </c>
      <c r="G44" s="2">
        <f>SUM(G16:G43)</f>
        <v>-114.44333333333336</v>
      </c>
      <c r="I44" s="2">
        <f>SUM(I16:I43)</f>
        <v>11288.1</v>
      </c>
      <c r="K44" s="2">
        <f>SUM(K16:K43)</f>
        <v>12054.666666666668</v>
      </c>
      <c r="M44" s="2">
        <f>SUM(M16:M43)</f>
        <v>-766.56666666666683</v>
      </c>
      <c r="O44" s="2">
        <f>SUM(O16:O43)</f>
        <v>91422</v>
      </c>
    </row>
    <row r="45" spans="1:15" x14ac:dyDescent="0.25">
      <c r="G45" s="6"/>
    </row>
    <row r="46" spans="1:15" x14ac:dyDescent="0.25">
      <c r="G46" s="6"/>
    </row>
    <row r="47" spans="1:15" x14ac:dyDescent="0.25">
      <c r="A47" s="1" t="s">
        <v>21</v>
      </c>
      <c r="G47" s="6"/>
    </row>
    <row r="48" spans="1:15" x14ac:dyDescent="0.25">
      <c r="A48" s="1"/>
      <c r="G48" s="6"/>
    </row>
    <row r="49" spans="1:15" x14ac:dyDescent="0.25">
      <c r="A49" s="1" t="s">
        <v>52</v>
      </c>
      <c r="C49" s="2">
        <f>C11</f>
        <v>7462.5700000000006</v>
      </c>
      <c r="E49" s="2">
        <f>E11</f>
        <v>7681</v>
      </c>
      <c r="G49" s="2">
        <f>G11</f>
        <v>-218.43</v>
      </c>
      <c r="I49" s="2">
        <f>I11</f>
        <v>8115</v>
      </c>
      <c r="K49" s="2">
        <f>K11</f>
        <v>8612</v>
      </c>
      <c r="M49" s="2">
        <f>M11</f>
        <v>-497</v>
      </c>
      <c r="O49" s="2">
        <f>O11</f>
        <v>82165</v>
      </c>
    </row>
    <row r="50" spans="1:15" x14ac:dyDescent="0.25">
      <c r="A50" s="1" t="s">
        <v>53</v>
      </c>
      <c r="C50" s="2">
        <f>-C44</f>
        <v>-3621.39</v>
      </c>
      <c r="E50" s="2">
        <f>-E44</f>
        <v>-3735.8333333333335</v>
      </c>
      <c r="G50" s="2">
        <f>-G44</f>
        <v>114.44333333333336</v>
      </c>
      <c r="I50" s="2">
        <f>-I44</f>
        <v>-11288.1</v>
      </c>
      <c r="K50" s="2">
        <f>-K44</f>
        <v>-12054.666666666668</v>
      </c>
      <c r="M50" s="2">
        <f>-M44</f>
        <v>766.56666666666683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3841.1800000000007</v>
      </c>
      <c r="E52" s="2">
        <f>SUM(E49:E50)</f>
        <v>3945.1666666666665</v>
      </c>
      <c r="G52" s="2">
        <f>SUM(G49:G50)</f>
        <v>-103.98666666666665</v>
      </c>
      <c r="I52" s="2">
        <f>SUM(I49:I50)</f>
        <v>-3173.1000000000004</v>
      </c>
      <c r="K52" s="2">
        <f>SUM(K49:K50)</f>
        <v>-3442.6666666666679</v>
      </c>
      <c r="M52" s="2">
        <f>SUM(M49:M50)</f>
        <v>269.56666666666683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7" fitToWidth="0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0" workbookViewId="0">
      <selection activeCell="E20" sqref="E2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55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56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'Aug 2012'!I5+C5</f>
        <v>335.16</v>
      </c>
      <c r="K5" s="2">
        <f>'Aug 2012'!K5+E5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v>631.69000000000005</v>
      </c>
      <c r="E6" s="2">
        <f>7200/12</f>
        <v>600</v>
      </c>
      <c r="G6" s="6">
        <f t="shared" ref="G6:G9" si="1">C6-E6</f>
        <v>31.690000000000055</v>
      </c>
      <c r="I6" s="2">
        <f>'Aug 2012'!I6+C6</f>
        <v>1799.9900000000002</v>
      </c>
      <c r="K6" s="2">
        <f>'Aug 2012'!K6+E6</f>
        <v>1800</v>
      </c>
      <c r="M6" s="6">
        <f t="shared" si="0"/>
        <v>-9.9999999997635314E-3</v>
      </c>
      <c r="O6" s="2">
        <v>11193</v>
      </c>
    </row>
    <row r="7" spans="1:15" x14ac:dyDescent="0.25">
      <c r="A7" t="s">
        <v>19</v>
      </c>
      <c r="C7" s="2">
        <f>15.05+5.12+22.57</f>
        <v>42.74</v>
      </c>
      <c r="E7" s="2">
        <f>O7/12</f>
        <v>61</v>
      </c>
      <c r="G7" s="6">
        <f t="shared" si="1"/>
        <v>-18.259999999999998</v>
      </c>
      <c r="I7" s="2">
        <f>'Aug 2012'!I7+C7</f>
        <v>133.15</v>
      </c>
      <c r="K7" s="2">
        <f>'Aug 2012'!K7+E7</f>
        <v>183</v>
      </c>
      <c r="M7" s="6">
        <f t="shared" si="0"/>
        <v>-49.849999999999994</v>
      </c>
      <c r="O7" s="2">
        <v>732</v>
      </c>
    </row>
    <row r="8" spans="1:15" x14ac:dyDescent="0.25">
      <c r="A8" t="s">
        <v>17</v>
      </c>
      <c r="C8" s="2">
        <v>54.64</v>
      </c>
      <c r="E8" s="2">
        <v>0</v>
      </c>
      <c r="G8" s="6">
        <f t="shared" si="1"/>
        <v>54.64</v>
      </c>
      <c r="I8" s="2">
        <f>'Aug 2012'!I8+C8</f>
        <v>6032.67</v>
      </c>
      <c r="K8" s="2">
        <f>'Aug 2012'!K8+E8</f>
        <v>6750</v>
      </c>
      <c r="M8" s="6">
        <f t="shared" si="0"/>
        <v>-717.32999999999993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'Aug 2012'!I9+C9</f>
        <v>814.65000000000009</v>
      </c>
      <c r="K9" s="2">
        <f>'Aug 2012'!K9+E9</f>
        <v>810</v>
      </c>
      <c r="M9" s="6">
        <f t="shared" si="0"/>
        <v>4.6500000000000909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1000.6200000000001</v>
      </c>
      <c r="E11" s="2">
        <f>SUM(E5:E10)</f>
        <v>931</v>
      </c>
      <c r="G11" s="2">
        <f>SUM(G5:G10)</f>
        <v>69.620000000000061</v>
      </c>
      <c r="I11" s="2">
        <f>SUM(I5:I10)</f>
        <v>9115.6200000000008</v>
      </c>
      <c r="K11" s="2">
        <f>SUM(K5:K10)</f>
        <v>9543</v>
      </c>
      <c r="M11" s="2">
        <f>SUM(M5:M10)</f>
        <v>-427.37999999999954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57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'Aug 2012'!I16+C16</f>
        <v>900</v>
      </c>
      <c r="K16" s="2">
        <f>'Aug 2012'!K16+E16</f>
        <v>900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1500</v>
      </c>
      <c r="E17" s="2">
        <v>1500</v>
      </c>
      <c r="G17" s="6">
        <f t="shared" si="2"/>
        <v>0</v>
      </c>
      <c r="I17" s="2">
        <f>'Aug 2012'!I17+C17</f>
        <v>1500</v>
      </c>
      <c r="K17" s="2">
        <f>'Aug 2012'!K17+E17</f>
        <v>1500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f>75*4</f>
        <v>300</v>
      </c>
      <c r="E18" s="2">
        <f>75*4</f>
        <v>300</v>
      </c>
      <c r="G18" s="6">
        <f t="shared" si="2"/>
        <v>0</v>
      </c>
      <c r="I18" s="2">
        <f>'Aug 2012'!I18+C18</f>
        <v>300</v>
      </c>
      <c r="K18" s="2">
        <f>'Aug 2012'!K18+E18</f>
        <v>300</v>
      </c>
      <c r="M18" s="6">
        <f t="shared" si="3"/>
        <v>0</v>
      </c>
      <c r="O18" s="2">
        <v>3000</v>
      </c>
    </row>
    <row r="19" spans="1:15" x14ac:dyDescent="0.25">
      <c r="A19" t="s">
        <v>4</v>
      </c>
      <c r="C19" s="2">
        <v>0</v>
      </c>
      <c r="E19" s="2">
        <f>O19/4</f>
        <v>1125</v>
      </c>
      <c r="G19" s="6">
        <f t="shared" si="2"/>
        <v>-1125</v>
      </c>
      <c r="I19" s="2">
        <f>'Aug 2012'!I19+C19</f>
        <v>0</v>
      </c>
      <c r="K19" s="2">
        <f>'Aug 2012'!K19+E19</f>
        <v>1125</v>
      </c>
      <c r="M19" s="6">
        <f t="shared" si="3"/>
        <v>-1125</v>
      </c>
      <c r="O19" s="2">
        <v>4500</v>
      </c>
    </row>
    <row r="20" spans="1:15" x14ac:dyDescent="0.25">
      <c r="A20" t="s">
        <v>5</v>
      </c>
      <c r="C20" s="2">
        <v>369.29</v>
      </c>
      <c r="E20" s="2">
        <f>O20/12</f>
        <v>366.66666666666669</v>
      </c>
      <c r="G20" s="6">
        <f t="shared" si="2"/>
        <v>2.6233333333333348</v>
      </c>
      <c r="I20" s="2">
        <f>'Aug 2012'!I20+C20</f>
        <v>1108.6399999999999</v>
      </c>
      <c r="K20" s="2">
        <f>'Aug 2012'!K20+E20</f>
        <v>1100</v>
      </c>
      <c r="M20" s="6">
        <f t="shared" si="3"/>
        <v>8.6399999999998727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'Aug 2012'!I21+C21</f>
        <v>8302.5</v>
      </c>
      <c r="K21" s="2">
        <f>'Aug 2012'!K21+E21</f>
        <v>8302.5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'Aug 2012'!I22+C22</f>
        <v>3649</v>
      </c>
      <c r="K22" s="2">
        <f>'Aug 2012'!K22+E22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'Aug 2012'!I23+C23</f>
        <v>531</v>
      </c>
      <c r="K23" s="2">
        <f>'Aug 2012'!K23+E23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'Aug 2012'!I24+C24</f>
        <v>0</v>
      </c>
      <c r="K24" s="2">
        <f>'Aug 2012'!K24+E24</f>
        <v>0</v>
      </c>
      <c r="M24" s="6">
        <f t="shared" si="3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'Aug 2012'!I25+C25</f>
        <v>0</v>
      </c>
      <c r="K25" s="2">
        <f>'Aug 2012'!K25+E25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'Aug 2012'!I26+C26</f>
        <v>0</v>
      </c>
      <c r="K26" s="2">
        <f>'Aug 2012'!K26+E26</f>
        <v>0</v>
      </c>
      <c r="M26" s="6">
        <f t="shared" si="3"/>
        <v>0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'Aug 2012'!I27+C27</f>
        <v>0</v>
      </c>
      <c r="K27" s="2">
        <f>'Aug 2012'!K27+E27</f>
        <v>0</v>
      </c>
      <c r="M27" s="6">
        <f t="shared" si="3"/>
        <v>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'Aug 2012'!I28+C28</f>
        <v>0</v>
      </c>
      <c r="K28" s="2">
        <f>'Aug 2012'!K28+E28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v>0</v>
      </c>
      <c r="G29" s="6">
        <f t="shared" si="2"/>
        <v>0</v>
      </c>
      <c r="I29" s="2">
        <f>'Aug 2012'!I29+C29</f>
        <v>14.75</v>
      </c>
      <c r="K29" s="2">
        <f>'Aug 2012'!K29+E29</f>
        <v>0</v>
      </c>
      <c r="M29" s="6">
        <f t="shared" si="3"/>
        <v>14.75</v>
      </c>
      <c r="O29" s="2">
        <v>150</v>
      </c>
    </row>
    <row r="30" spans="1:15" x14ac:dyDescent="0.25">
      <c r="A30" t="s">
        <v>34</v>
      </c>
      <c r="C30" s="2">
        <v>300</v>
      </c>
      <c r="E30" s="2">
        <v>0</v>
      </c>
      <c r="G30" s="6">
        <f t="shared" si="2"/>
        <v>300</v>
      </c>
      <c r="I30" s="2">
        <f>'Aug 2012'!I30+C30</f>
        <v>300</v>
      </c>
      <c r="K30" s="2">
        <f>'Aug 2012'!K30+E30</f>
        <v>300</v>
      </c>
      <c r="M30" s="6">
        <f t="shared" si="3"/>
        <v>0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'Aug 2012'!I31+C31</f>
        <v>0</v>
      </c>
      <c r="K31" s="2">
        <f>'Aug 2012'!K31+E31</f>
        <v>0</v>
      </c>
      <c r="M31" s="6">
        <f t="shared" si="3"/>
        <v>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'Aug 2012'!I32+C32</f>
        <v>0</v>
      </c>
      <c r="K32" s="2">
        <f>'Aug 2012'!K32+E32</f>
        <v>375</v>
      </c>
      <c r="M32" s="6">
        <f t="shared" si="3"/>
        <v>-375</v>
      </c>
      <c r="O32" s="2">
        <v>1500</v>
      </c>
    </row>
    <row r="33" spans="1:15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'Aug 2012'!I33+C33</f>
        <v>0</v>
      </c>
      <c r="K33" s="2">
        <f>'Aug 2012'!K33+E33</f>
        <v>0</v>
      </c>
      <c r="M33" s="6">
        <f t="shared" si="3"/>
        <v>0</v>
      </c>
      <c r="O33" s="2">
        <v>1800</v>
      </c>
    </row>
    <row r="34" spans="1:15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'Aug 2012'!I34+C34</f>
        <v>0</v>
      </c>
      <c r="K34" s="2">
        <f>'Aug 2012'!K34+E34</f>
        <v>0</v>
      </c>
      <c r="M34" s="6">
        <f t="shared" si="3"/>
        <v>0</v>
      </c>
      <c r="O34" s="2">
        <v>10000</v>
      </c>
    </row>
    <row r="35" spans="1:15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'Aug 2012'!I35+C35</f>
        <v>0</v>
      </c>
      <c r="K35" s="2">
        <f>'Aug 2012'!K35+E35</f>
        <v>0</v>
      </c>
      <c r="M35" s="6">
        <f t="shared" si="3"/>
        <v>0</v>
      </c>
      <c r="O35" s="2">
        <v>750</v>
      </c>
    </row>
    <row r="36" spans="1:15" x14ac:dyDescent="0.25">
      <c r="A36" t="s">
        <v>38</v>
      </c>
      <c r="G36" s="6" t="s">
        <v>25</v>
      </c>
      <c r="I36" s="2">
        <f>'Aug 2012'!I36+C36</f>
        <v>0</v>
      </c>
      <c r="K36" s="2">
        <f>'Aug 2012'!K36+E36</f>
        <v>0</v>
      </c>
      <c r="M36" s="6" t="s">
        <v>25</v>
      </c>
      <c r="O36" s="2"/>
    </row>
    <row r="37" spans="1:15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'Aug 2012'!I37+C37</f>
        <v>150</v>
      </c>
      <c r="K37" s="2">
        <f>'Aug 2012'!K37+E37</f>
        <v>150</v>
      </c>
      <c r="M37" s="6">
        <f t="shared" si="3"/>
        <v>0</v>
      </c>
      <c r="O37" s="2">
        <v>600</v>
      </c>
    </row>
    <row r="38" spans="1:15" x14ac:dyDescent="0.25">
      <c r="A38" t="s">
        <v>40</v>
      </c>
      <c r="C38" s="2">
        <v>0</v>
      </c>
      <c r="E38" s="2">
        <f>4*17</f>
        <v>68</v>
      </c>
      <c r="G38" s="6">
        <f t="shared" si="2"/>
        <v>-68</v>
      </c>
      <c r="I38" s="2">
        <f>'Aug 2012'!I38+C38</f>
        <v>119</v>
      </c>
      <c r="K38" s="2">
        <f>'Aug 2012'!K38+E38</f>
        <v>221</v>
      </c>
      <c r="M38" s="6">
        <f t="shared" si="3"/>
        <v>-102</v>
      </c>
      <c r="O38" s="2">
        <v>425</v>
      </c>
    </row>
    <row r="39" spans="1:15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'Aug 2012'!I39+C39</f>
        <v>0</v>
      </c>
      <c r="K39" s="2">
        <f>'Aug 2012'!K39+E39</f>
        <v>0</v>
      </c>
      <c r="M39" s="6">
        <f t="shared" si="3"/>
        <v>0</v>
      </c>
      <c r="O39" s="2">
        <v>102</v>
      </c>
    </row>
    <row r="40" spans="1:15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'Aug 2012'!I40+C40</f>
        <v>0</v>
      </c>
      <c r="K40" s="2">
        <f>'Aug 2012'!K40+E40</f>
        <v>0</v>
      </c>
      <c r="M40" s="6">
        <f t="shared" si="3"/>
        <v>0</v>
      </c>
      <c r="O40" s="2">
        <v>200</v>
      </c>
    </row>
    <row r="41" spans="1:15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'Aug 2012'!I41+C41</f>
        <v>0</v>
      </c>
      <c r="K41" s="2">
        <f>'Aug 2012'!K41+E41</f>
        <v>0</v>
      </c>
      <c r="M41" s="6">
        <f t="shared" si="3"/>
        <v>0</v>
      </c>
      <c r="O41" s="2">
        <v>250</v>
      </c>
    </row>
    <row r="42" spans="1:15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'Aug 2012'!I42+C42</f>
        <v>0</v>
      </c>
      <c r="K42" s="2">
        <f>'Aug 2012'!K42+E42</f>
        <v>125</v>
      </c>
      <c r="M42" s="6">
        <f t="shared" si="3"/>
        <v>-125</v>
      </c>
      <c r="O42" s="2">
        <v>500</v>
      </c>
    </row>
    <row r="43" spans="1:15" x14ac:dyDescent="0.25">
      <c r="G43" s="6"/>
      <c r="K43" s="2"/>
      <c r="O43" s="2"/>
    </row>
    <row r="44" spans="1:15" x14ac:dyDescent="0.25">
      <c r="A44" s="1" t="s">
        <v>58</v>
      </c>
      <c r="C44" s="2">
        <f>SUM(C16:C43)</f>
        <v>5586.79</v>
      </c>
      <c r="E44" s="2">
        <f>SUM(E16:E43)</f>
        <v>6643.833333333333</v>
      </c>
      <c r="G44" s="2">
        <f>SUM(G16:G43)</f>
        <v>-1057.0433333333333</v>
      </c>
      <c r="I44" s="2">
        <f>SUM(I16:I43)</f>
        <v>16874.89</v>
      </c>
      <c r="K44" s="2">
        <f>SUM(K16:K43)</f>
        <v>18698.5</v>
      </c>
      <c r="M44" s="2">
        <f>SUM(M16:M43)</f>
        <v>-1823.6100000000001</v>
      </c>
      <c r="O44" s="2">
        <f>SUM(O16:O43)</f>
        <v>91422</v>
      </c>
    </row>
    <row r="45" spans="1:15" x14ac:dyDescent="0.25">
      <c r="G45" s="6"/>
    </row>
    <row r="46" spans="1:15" x14ac:dyDescent="0.25">
      <c r="G46" s="6"/>
    </row>
    <row r="47" spans="1:15" x14ac:dyDescent="0.25">
      <c r="A47" s="1" t="s">
        <v>21</v>
      </c>
      <c r="G47" s="6"/>
    </row>
    <row r="48" spans="1:15" x14ac:dyDescent="0.25">
      <c r="A48" s="1"/>
      <c r="G48" s="6"/>
    </row>
    <row r="49" spans="1:15" x14ac:dyDescent="0.25">
      <c r="A49" s="1" t="s">
        <v>59</v>
      </c>
      <c r="C49" s="2">
        <f>C11</f>
        <v>1000.6200000000001</v>
      </c>
      <c r="E49" s="2">
        <f>E11</f>
        <v>931</v>
      </c>
      <c r="G49" s="2">
        <f>G11</f>
        <v>69.620000000000061</v>
      </c>
      <c r="I49" s="2">
        <f>I11</f>
        <v>9115.6200000000008</v>
      </c>
      <c r="K49" s="2">
        <f>K11</f>
        <v>9543</v>
      </c>
      <c r="M49" s="2">
        <f>M11</f>
        <v>-427.37999999999954</v>
      </c>
      <c r="O49" s="2">
        <f>O11</f>
        <v>82165</v>
      </c>
    </row>
    <row r="50" spans="1:15" x14ac:dyDescent="0.25">
      <c r="A50" s="1" t="s">
        <v>60</v>
      </c>
      <c r="C50" s="2">
        <f>-C44</f>
        <v>-5586.79</v>
      </c>
      <c r="E50" s="2">
        <f>-E44</f>
        <v>-6643.833333333333</v>
      </c>
      <c r="G50" s="2">
        <f>-G44</f>
        <v>1057.0433333333333</v>
      </c>
      <c r="I50" s="2">
        <f>-I44</f>
        <v>-16874.89</v>
      </c>
      <c r="K50" s="2">
        <f>-K44</f>
        <v>-18698.5</v>
      </c>
      <c r="M50" s="2">
        <f>-M44</f>
        <v>1823.6100000000001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-4586.17</v>
      </c>
      <c r="E52" s="2">
        <f>SUM(E49:E50)</f>
        <v>-5712.833333333333</v>
      </c>
      <c r="G52" s="2">
        <f>SUM(G49:G50)</f>
        <v>1126.6633333333334</v>
      </c>
      <c r="I52" s="2">
        <f>SUM(I49:I50)</f>
        <v>-7759.2699999999986</v>
      </c>
      <c r="K52" s="2">
        <f>SUM(K49:K50)</f>
        <v>-9155.5</v>
      </c>
      <c r="M52" s="2">
        <f>SUM(M49:M50)</f>
        <v>1396.2300000000005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4" fitToHeight="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0" workbookViewId="0">
      <selection activeCell="E20" sqref="E2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61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62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'Sept 2012'!I5+C5</f>
        <v>335.16</v>
      </c>
      <c r="K5" s="2">
        <f>'Sept 2012'!K5+E5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f>608.47+3993</f>
        <v>4601.47</v>
      </c>
      <c r="E6" s="2">
        <f>7200/12+3993</f>
        <v>4593</v>
      </c>
      <c r="G6" s="6">
        <f t="shared" ref="G6:G9" si="1">C6-E6</f>
        <v>8.4700000000002547</v>
      </c>
      <c r="I6" s="2">
        <f>'Sept 2012'!I6+C6</f>
        <v>6401.4600000000009</v>
      </c>
      <c r="K6" s="2">
        <f>'Sept 2012'!K6+E6</f>
        <v>6393</v>
      </c>
      <c r="M6" s="6">
        <f t="shared" si="0"/>
        <v>8.4600000000009459</v>
      </c>
      <c r="O6" s="2">
        <v>11193</v>
      </c>
    </row>
    <row r="7" spans="1:15" x14ac:dyDescent="0.25">
      <c r="A7" t="s">
        <v>19</v>
      </c>
      <c r="C7" s="2">
        <f>14.8+5.79+23.34</f>
        <v>43.93</v>
      </c>
      <c r="E7" s="2">
        <f>O7/12</f>
        <v>61</v>
      </c>
      <c r="G7" s="6">
        <f t="shared" si="1"/>
        <v>-17.07</v>
      </c>
      <c r="I7" s="2">
        <f>'Sept 2012'!I7+C7</f>
        <v>177.08</v>
      </c>
      <c r="K7" s="2">
        <f>'Sept 2012'!K7+E7</f>
        <v>244</v>
      </c>
      <c r="M7" s="6">
        <f t="shared" si="0"/>
        <v>-66.919999999999987</v>
      </c>
      <c r="O7" s="2">
        <v>732</v>
      </c>
    </row>
    <row r="8" spans="1:15" x14ac:dyDescent="0.25">
      <c r="A8" t="s">
        <v>17</v>
      </c>
      <c r="C8" s="2">
        <f>2136.1+3022.69</f>
        <v>5158.79</v>
      </c>
      <c r="E8" s="2">
        <f>O8/4</f>
        <v>6750</v>
      </c>
      <c r="G8" s="6">
        <f t="shared" si="1"/>
        <v>-1591.21</v>
      </c>
      <c r="I8" s="2">
        <f>'Sept 2012'!I8+C8</f>
        <v>11191.46</v>
      </c>
      <c r="K8" s="2">
        <f>'Sept 2012'!K8+E8</f>
        <v>13500</v>
      </c>
      <c r="M8" s="6">
        <f t="shared" si="0"/>
        <v>-2308.5400000000009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'Sept 2012'!I9+C9</f>
        <v>1086.2</v>
      </c>
      <c r="K9" s="2">
        <f>'Sept 2012'!K9+E9</f>
        <v>1080</v>
      </c>
      <c r="M9" s="6">
        <f t="shared" si="0"/>
        <v>6.2000000000000455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10075.74</v>
      </c>
      <c r="E11" s="2">
        <f>SUM(E5:E10)</f>
        <v>11674</v>
      </c>
      <c r="G11" s="2">
        <f>SUM(G5:G10)</f>
        <v>-1598.2599999999998</v>
      </c>
      <c r="I11" s="2">
        <f>SUM(I5:I10)</f>
        <v>19191.36</v>
      </c>
      <c r="K11" s="2">
        <f>SUM(K5:K10)</f>
        <v>21217</v>
      </c>
      <c r="M11" s="2">
        <f>SUM(M5:M10)</f>
        <v>-2025.6399999999999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63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'Sept 2012'!I16+C16</f>
        <v>1200</v>
      </c>
      <c r="K16" s="2">
        <f>'Sept 2012'!K16+E16</f>
        <v>1200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'Sept 2012'!I17+C17</f>
        <v>1500</v>
      </c>
      <c r="K17" s="2">
        <f>'Sept 2012'!K17+E17</f>
        <v>1500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'Sept 2012'!I18+C18</f>
        <v>300</v>
      </c>
      <c r="K18" s="2">
        <f>'Sept 2012'!K18+E18</f>
        <v>300</v>
      </c>
      <c r="M18" s="6">
        <f t="shared" si="3"/>
        <v>0</v>
      </c>
      <c r="O18" s="2">
        <v>3000</v>
      </c>
    </row>
    <row r="19" spans="1:15" x14ac:dyDescent="0.25">
      <c r="A19" t="s">
        <v>4</v>
      </c>
      <c r="C19" s="2">
        <v>154</v>
      </c>
      <c r="E19" s="2">
        <v>0</v>
      </c>
      <c r="G19" s="6">
        <f t="shared" si="2"/>
        <v>154</v>
      </c>
      <c r="I19" s="2">
        <f>'Sept 2012'!I19+C19</f>
        <v>154</v>
      </c>
      <c r="K19" s="2">
        <f>'Sept 2012'!K19+E19</f>
        <v>1125</v>
      </c>
      <c r="M19" s="6">
        <f t="shared" si="3"/>
        <v>-971</v>
      </c>
      <c r="O19" s="2">
        <v>4500</v>
      </c>
    </row>
    <row r="20" spans="1:15" x14ac:dyDescent="0.25">
      <c r="A20" t="s">
        <v>5</v>
      </c>
      <c r="C20" s="2">
        <v>368.84</v>
      </c>
      <c r="E20" s="2">
        <f>O20/12</f>
        <v>366.66666666666669</v>
      </c>
      <c r="G20" s="6">
        <f t="shared" si="2"/>
        <v>2.1733333333332894</v>
      </c>
      <c r="I20" s="2">
        <f>'Sept 2012'!I20+C20</f>
        <v>1477.4799999999998</v>
      </c>
      <c r="K20" s="2">
        <f>'Sept 2012'!K20+E20</f>
        <v>1466.6666666666667</v>
      </c>
      <c r="M20" s="6">
        <f t="shared" si="3"/>
        <v>10.813333333333048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'Sept 2012'!I21+C21</f>
        <v>11070</v>
      </c>
      <c r="K21" s="2">
        <f>'Sept 2012'!K21+E21</f>
        <v>11070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'Sept 2012'!I22+C22</f>
        <v>3649</v>
      </c>
      <c r="K22" s="2">
        <f>'Sept 2012'!K22+E22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'Sept 2012'!I23+C23</f>
        <v>531</v>
      </c>
      <c r="K23" s="2">
        <f>'Sept 2012'!K23+E23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'Sept 2012'!I24+C24</f>
        <v>0</v>
      </c>
      <c r="K24" s="2">
        <f>'Sept 2012'!K24+E24</f>
        <v>0</v>
      </c>
      <c r="M24" s="6">
        <f t="shared" si="3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'Sept 2012'!I25+C25</f>
        <v>0</v>
      </c>
      <c r="K25" s="2">
        <f>'Sept 2012'!K25+E25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233</v>
      </c>
      <c r="E26" s="2">
        <v>375</v>
      </c>
      <c r="G26" s="6">
        <f t="shared" si="2"/>
        <v>-142</v>
      </c>
      <c r="I26" s="2">
        <f>'Sept 2012'!I26+C26</f>
        <v>233</v>
      </c>
      <c r="K26" s="2">
        <f>'Sept 2012'!K26+E26</f>
        <v>375</v>
      </c>
      <c r="M26" s="6">
        <f t="shared" si="3"/>
        <v>-142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'Sept 2012'!I27+C27</f>
        <v>0</v>
      </c>
      <c r="K27" s="2">
        <f>'Sept 2012'!K27+E27</f>
        <v>0</v>
      </c>
      <c r="M27" s="6">
        <f t="shared" si="3"/>
        <v>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'Sept 2012'!I28+C28</f>
        <v>0</v>
      </c>
      <c r="K28" s="2">
        <f>'Sept 2012'!K28+E28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f>O29/4</f>
        <v>37.5</v>
      </c>
      <c r="G29" s="6">
        <f t="shared" si="2"/>
        <v>-37.5</v>
      </c>
      <c r="I29" s="2">
        <f>'Sept 2012'!I29+C29</f>
        <v>14.75</v>
      </c>
      <c r="K29" s="2">
        <f>'Sept 2012'!K29+E29</f>
        <v>37.5</v>
      </c>
      <c r="M29" s="6">
        <f t="shared" si="3"/>
        <v>-22.75</v>
      </c>
      <c r="O29" s="2">
        <v>150</v>
      </c>
    </row>
    <row r="30" spans="1:15" x14ac:dyDescent="0.25">
      <c r="A30" t="s">
        <v>34</v>
      </c>
      <c r="C30" s="2">
        <v>221.48</v>
      </c>
      <c r="E30" s="2">
        <f>O30/4</f>
        <v>300</v>
      </c>
      <c r="G30" s="6">
        <f t="shared" si="2"/>
        <v>-78.52000000000001</v>
      </c>
      <c r="I30" s="2">
        <f>'Sept 2012'!I30+C30</f>
        <v>521.48</v>
      </c>
      <c r="K30" s="2">
        <f>'Sept 2012'!K30+E30</f>
        <v>600</v>
      </c>
      <c r="M30" s="6">
        <f t="shared" si="3"/>
        <v>-78.519999999999982</v>
      </c>
      <c r="O30" s="2">
        <v>1200</v>
      </c>
    </row>
    <row r="31" spans="1:15" x14ac:dyDescent="0.25">
      <c r="A31" t="s">
        <v>12</v>
      </c>
      <c r="C31" s="2">
        <v>0</v>
      </c>
      <c r="E31" s="2">
        <f>O31/4</f>
        <v>500</v>
      </c>
      <c r="G31" s="6">
        <f t="shared" si="2"/>
        <v>-500</v>
      </c>
      <c r="I31" s="2">
        <f>'Sept 2012'!I31+C31</f>
        <v>0</v>
      </c>
      <c r="K31" s="2">
        <f>'Sept 2012'!K31+E31</f>
        <v>500</v>
      </c>
      <c r="M31" s="6">
        <f t="shared" si="3"/>
        <v>-500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'Sept 2012'!I32+C32</f>
        <v>0</v>
      </c>
      <c r="K32" s="2">
        <f>'Sept 2012'!K32+E32</f>
        <v>500</v>
      </c>
      <c r="M32" s="6">
        <f t="shared" si="3"/>
        <v>-500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'Sept 2012'!I33+C33</f>
        <v>0</v>
      </c>
      <c r="K33" s="2">
        <f>'Sept 2012'!K33+E33</f>
        <v>0</v>
      </c>
      <c r="M33" s="6">
        <f t="shared" si="3"/>
        <v>0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'Sept 2012'!I34+C34</f>
        <v>0</v>
      </c>
      <c r="K34" s="2">
        <f>'Sept 2012'!K34+E34</f>
        <v>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'Sept 2012'!I35+C35</f>
        <v>0</v>
      </c>
      <c r="K35" s="2">
        <f>'Sept 2012'!K35+E35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>
        <f>'Sept 2012'!I36+C36</f>
        <v>0</v>
      </c>
      <c r="K36" s="2">
        <f>'Sept 2012'!K36+E36</f>
        <v>0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'Sept 2012'!I37+C37</f>
        <v>200</v>
      </c>
      <c r="K37" s="2">
        <f>'Sept 2012'!K37+E37</f>
        <v>200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51</v>
      </c>
      <c r="E38" s="2">
        <f>2*17</f>
        <v>34</v>
      </c>
      <c r="G38" s="6">
        <f t="shared" si="2"/>
        <v>17</v>
      </c>
      <c r="I38" s="2">
        <f>'Sept 2012'!I38+C38</f>
        <v>170</v>
      </c>
      <c r="K38" s="2">
        <f>'Sept 2012'!K38+E38</f>
        <v>255</v>
      </c>
      <c r="M38" s="6">
        <f t="shared" si="3"/>
        <v>-85</v>
      </c>
      <c r="O38" s="2">
        <v>425</v>
      </c>
      <c r="P38" t="s">
        <v>67</v>
      </c>
    </row>
    <row r="39" spans="1:16" x14ac:dyDescent="0.25">
      <c r="A39" t="s">
        <v>41</v>
      </c>
      <c r="C39" s="2">
        <v>101.8</v>
      </c>
      <c r="E39" s="2">
        <v>102</v>
      </c>
      <c r="G39" s="6">
        <f t="shared" si="2"/>
        <v>-0.20000000000000284</v>
      </c>
      <c r="I39" s="2">
        <f>'Sept 2012'!I39+C39</f>
        <v>101.8</v>
      </c>
      <c r="K39" s="2">
        <f>'Sept 2012'!K39+E39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f>200/4</f>
        <v>50</v>
      </c>
      <c r="G40" s="6">
        <f t="shared" si="2"/>
        <v>-50</v>
      </c>
      <c r="I40" s="2">
        <f>'Sept 2012'!I40+C40</f>
        <v>0</v>
      </c>
      <c r="K40" s="2">
        <f>'Sept 2012'!K40+E40</f>
        <v>50</v>
      </c>
      <c r="M40" s="6">
        <f t="shared" si="3"/>
        <v>-50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'Sept 2012'!I41+C41</f>
        <v>0</v>
      </c>
      <c r="K41" s="2">
        <f>'Sept 2012'!K41+E41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'Sept 2012'!I42+C42</f>
        <v>0</v>
      </c>
      <c r="K42" s="2">
        <f>'Sept 2012'!K42+E42</f>
        <v>166.66666666666666</v>
      </c>
      <c r="M42" s="6">
        <f t="shared" si="3"/>
        <v>-166.66666666666666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64</v>
      </c>
      <c r="C44" s="2">
        <f>SUM(C16:C43)</f>
        <v>4247.62</v>
      </c>
      <c r="E44" s="2">
        <f>SUM(E16:E43)</f>
        <v>5049.3333333333339</v>
      </c>
      <c r="G44" s="2">
        <f>SUM(G16:G43)</f>
        <v>-801.71333333333337</v>
      </c>
      <c r="I44" s="2">
        <f>SUM(I16:I43)</f>
        <v>21122.51</v>
      </c>
      <c r="K44" s="2">
        <f>SUM(K16:K43)</f>
        <v>23747.833333333336</v>
      </c>
      <c r="M44" s="2">
        <f>SUM(M16:M43)</f>
        <v>-2625.3233333333333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65</v>
      </c>
      <c r="C49" s="2">
        <f>C11</f>
        <v>10075.74</v>
      </c>
      <c r="E49" s="2">
        <f>E11</f>
        <v>11674</v>
      </c>
      <c r="G49" s="2">
        <f>G11</f>
        <v>-1598.2599999999998</v>
      </c>
      <c r="I49" s="2">
        <f>I11</f>
        <v>19191.36</v>
      </c>
      <c r="K49" s="2">
        <f>K11</f>
        <v>21217</v>
      </c>
      <c r="M49" s="2">
        <f>M11</f>
        <v>-2025.6399999999999</v>
      </c>
      <c r="O49" s="2">
        <f>O11</f>
        <v>82165</v>
      </c>
    </row>
    <row r="50" spans="1:15" x14ac:dyDescent="0.25">
      <c r="A50" s="1" t="s">
        <v>66</v>
      </c>
      <c r="C50" s="2">
        <f>-C44</f>
        <v>-4247.62</v>
      </c>
      <c r="E50" s="2">
        <f>-E44</f>
        <v>-5049.3333333333339</v>
      </c>
      <c r="G50" s="2">
        <f>-G44</f>
        <v>801.71333333333337</v>
      </c>
      <c r="I50" s="2">
        <f>-I44</f>
        <v>-21122.51</v>
      </c>
      <c r="K50" s="2">
        <f>-K44</f>
        <v>-23747.833333333336</v>
      </c>
      <c r="M50" s="2">
        <f>-M44</f>
        <v>2625.3233333333333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5828.12</v>
      </c>
      <c r="E52" s="2">
        <f>SUM(E49:E50)</f>
        <v>6624.6666666666661</v>
      </c>
      <c r="G52" s="2">
        <f>SUM(G49:G50)</f>
        <v>-796.5466666666664</v>
      </c>
      <c r="I52" s="2">
        <f>SUM(I49:I50)</f>
        <v>-1931.1499999999978</v>
      </c>
      <c r="K52" s="2">
        <f>SUM(K49:K50)</f>
        <v>-2530.8333333333358</v>
      </c>
      <c r="M52" s="2">
        <f>SUM(M49:M50)</f>
        <v>599.68333333333339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4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0" workbookViewId="0"/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68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69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'Oct 2012'!I5+C5</f>
        <v>335.16</v>
      </c>
      <c r="K5" s="2">
        <f>'Oct 2012'!K5+E5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v>689</v>
      </c>
      <c r="E6" s="2">
        <f>7200/12</f>
        <v>600</v>
      </c>
      <c r="G6" s="6">
        <f t="shared" ref="G6:G9" si="1">C6-E6</f>
        <v>89</v>
      </c>
      <c r="I6" s="2">
        <f>'Oct 2012'!I6+C6</f>
        <v>7090.4600000000009</v>
      </c>
      <c r="K6" s="2">
        <f>'Oct 2012'!K6+E6</f>
        <v>6993</v>
      </c>
      <c r="M6" s="6">
        <f t="shared" si="0"/>
        <v>97.460000000000946</v>
      </c>
      <c r="O6" s="2">
        <v>11193</v>
      </c>
    </row>
    <row r="7" spans="1:15" x14ac:dyDescent="0.25">
      <c r="A7" t="s">
        <v>19</v>
      </c>
      <c r="C7" s="2">
        <f>14.71+5.66+22.6</f>
        <v>42.97</v>
      </c>
      <c r="E7" s="2">
        <f>O7/12</f>
        <v>61</v>
      </c>
      <c r="G7" s="6">
        <f t="shared" si="1"/>
        <v>-18.03</v>
      </c>
      <c r="I7" s="2">
        <f>'Oct 2012'!I7+C7</f>
        <v>220.05</v>
      </c>
      <c r="K7" s="2">
        <f>'Oct 2012'!K7+E7</f>
        <v>305</v>
      </c>
      <c r="M7" s="6">
        <f t="shared" si="0"/>
        <v>-84.949999999999989</v>
      </c>
      <c r="O7" s="2">
        <v>732</v>
      </c>
    </row>
    <row r="8" spans="1:15" x14ac:dyDescent="0.25">
      <c r="A8" t="s">
        <v>17</v>
      </c>
      <c r="C8" s="2">
        <f>1995.46+9.15</f>
        <v>2004.6100000000001</v>
      </c>
      <c r="E8" s="2">
        <v>0</v>
      </c>
      <c r="G8" s="6">
        <f t="shared" si="1"/>
        <v>2004.6100000000001</v>
      </c>
      <c r="I8" s="2">
        <f>'Oct 2012'!I8+C8</f>
        <v>13196.07</v>
      </c>
      <c r="K8" s="2">
        <f>'Oct 2012'!K8+E8</f>
        <v>13500</v>
      </c>
      <c r="M8" s="6">
        <f t="shared" si="0"/>
        <v>-303.93000000000029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'Oct 2012'!I9+C9</f>
        <v>1357.75</v>
      </c>
      <c r="K9" s="2">
        <f>'Oct 2012'!K9+E9</f>
        <v>1350</v>
      </c>
      <c r="M9" s="6">
        <f t="shared" si="0"/>
        <v>7.75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3008.13</v>
      </c>
      <c r="E11" s="2">
        <f>SUM(E5:E10)</f>
        <v>931</v>
      </c>
      <c r="G11" s="2">
        <f>SUM(G5:G10)</f>
        <v>2077.13</v>
      </c>
      <c r="I11" s="2">
        <f>SUM(I5:I10)</f>
        <v>22199.49</v>
      </c>
      <c r="K11" s="2">
        <f>SUM(K5:K10)</f>
        <v>22148</v>
      </c>
      <c r="M11" s="2">
        <f>SUM(M5:M10)</f>
        <v>51.490000000000691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70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'Oct 2012'!I16+C16</f>
        <v>1500</v>
      </c>
      <c r="K16" s="2">
        <f>'Oct 2012'!K16+E16</f>
        <v>1500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'Oct 2012'!I17+C17</f>
        <v>1500</v>
      </c>
      <c r="K17" s="2">
        <f>'Oct 2012'!K17+E17</f>
        <v>1500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'Oct 2012'!I18+C18</f>
        <v>300</v>
      </c>
      <c r="K18" s="2">
        <f>'Oct 2012'!K18+E18</f>
        <v>300</v>
      </c>
      <c r="M18" s="6">
        <f t="shared" si="3"/>
        <v>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2"/>
        <v>0</v>
      </c>
      <c r="I19" s="2">
        <f>'Oct 2012'!I19+C19</f>
        <v>154</v>
      </c>
      <c r="K19" s="2">
        <f>'Oct 2012'!K19+E19</f>
        <v>1125</v>
      </c>
      <c r="M19" s="6">
        <f t="shared" si="3"/>
        <v>-971</v>
      </c>
      <c r="O19" s="2">
        <v>4500</v>
      </c>
    </row>
    <row r="20" spans="1:15" x14ac:dyDescent="0.25">
      <c r="A20" t="s">
        <v>5</v>
      </c>
      <c r="C20" s="2">
        <v>372.41</v>
      </c>
      <c r="E20" s="2">
        <f>O20/12</f>
        <v>366.66666666666669</v>
      </c>
      <c r="G20" s="6">
        <f t="shared" si="2"/>
        <v>5.7433333333333394</v>
      </c>
      <c r="I20" s="2">
        <f>'Oct 2012'!I20+C20</f>
        <v>1849.8899999999999</v>
      </c>
      <c r="K20" s="2">
        <f>'Oct 2012'!K20+E20</f>
        <v>1833.3333333333335</v>
      </c>
      <c r="M20" s="6">
        <f t="shared" si="3"/>
        <v>16.556666666666388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'Oct 2012'!I21+C21</f>
        <v>13837.5</v>
      </c>
      <c r="K21" s="2">
        <f>'Oct 2012'!K21+E21</f>
        <v>13837.5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'Oct 2012'!I22+C22</f>
        <v>3649</v>
      </c>
      <c r="K22" s="2">
        <f>'Oct 2012'!K22+E22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'Oct 2012'!I23+C23</f>
        <v>531</v>
      </c>
      <c r="K23" s="2">
        <f>'Oct 2012'!K23+E23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'Oct 2012'!I24+C24</f>
        <v>0</v>
      </c>
      <c r="K24" s="2">
        <f>'Oct 2012'!K24+E24</f>
        <v>0</v>
      </c>
      <c r="M24" s="6">
        <f t="shared" si="3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'Oct 2012'!I25+C25</f>
        <v>0</v>
      </c>
      <c r="K25" s="2">
        <f>'Oct 2012'!K25+E25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'Oct 2012'!I26+C26</f>
        <v>233</v>
      </c>
      <c r="K26" s="2">
        <f>'Oct 2012'!K26+E26</f>
        <v>375</v>
      </c>
      <c r="M26" s="6">
        <f t="shared" si="3"/>
        <v>-142</v>
      </c>
      <c r="O26" s="2">
        <v>1500</v>
      </c>
    </row>
    <row r="27" spans="1:15" x14ac:dyDescent="0.25">
      <c r="A27" t="s">
        <v>10</v>
      </c>
      <c r="C27" s="2">
        <v>0</v>
      </c>
      <c r="E27" s="2">
        <v>0</v>
      </c>
      <c r="G27" s="6">
        <f t="shared" si="2"/>
        <v>0</v>
      </c>
      <c r="I27" s="2">
        <f>'Oct 2012'!I27+C27</f>
        <v>0</v>
      </c>
      <c r="K27" s="2">
        <f>'Oct 2012'!K27+E27</f>
        <v>0</v>
      </c>
      <c r="M27" s="6">
        <f t="shared" si="3"/>
        <v>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'Oct 2012'!I28+C28</f>
        <v>0</v>
      </c>
      <c r="K28" s="2">
        <f>'Oct 2012'!K28+E28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v>0</v>
      </c>
      <c r="G29" s="6">
        <f t="shared" si="2"/>
        <v>0</v>
      </c>
      <c r="I29" s="2">
        <f>'Oct 2012'!I29+C29</f>
        <v>14.75</v>
      </c>
      <c r="K29" s="2">
        <f>'Oct 2012'!K29+E29</f>
        <v>37.5</v>
      </c>
      <c r="M29" s="6">
        <f t="shared" si="3"/>
        <v>-22.75</v>
      </c>
      <c r="O29" s="2">
        <v>150</v>
      </c>
    </row>
    <row r="30" spans="1:15" x14ac:dyDescent="0.25">
      <c r="A30" t="s">
        <v>34</v>
      </c>
      <c r="C30" s="2">
        <v>0</v>
      </c>
      <c r="E30" s="2">
        <v>0</v>
      </c>
      <c r="G30" s="6">
        <f t="shared" si="2"/>
        <v>0</v>
      </c>
      <c r="I30" s="2">
        <f>'Oct 2012'!I30+C30</f>
        <v>521.48</v>
      </c>
      <c r="K30" s="2">
        <f>'Oct 2012'!K30+E30</f>
        <v>600</v>
      </c>
      <c r="M30" s="6">
        <f t="shared" si="3"/>
        <v>-78.519999999999982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'Oct 2012'!I31+C31</f>
        <v>0</v>
      </c>
      <c r="K31" s="2">
        <f>'Oct 2012'!K31+E31</f>
        <v>500</v>
      </c>
      <c r="M31" s="6">
        <f t="shared" si="3"/>
        <v>-500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'Oct 2012'!I32+C32</f>
        <v>0</v>
      </c>
      <c r="K32" s="2">
        <f>'Oct 2012'!K32+E32</f>
        <v>625</v>
      </c>
      <c r="M32" s="6">
        <f t="shared" si="3"/>
        <v>-625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'Oct 2012'!I33+C33</f>
        <v>0</v>
      </c>
      <c r="K33" s="2">
        <f>'Oct 2012'!K33+E33</f>
        <v>0</v>
      </c>
      <c r="M33" s="6">
        <f t="shared" si="3"/>
        <v>0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'Oct 2012'!I34+C34</f>
        <v>0</v>
      </c>
      <c r="K34" s="2">
        <f>'Oct 2012'!K34+E34</f>
        <v>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'Oct 2012'!I35+C35</f>
        <v>0</v>
      </c>
      <c r="K35" s="2">
        <f>'Oct 2012'!K35+E35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>
        <f>'Oct 2012'!I36+C36</f>
        <v>0</v>
      </c>
      <c r="K36" s="2">
        <f>'Oct 2012'!K36+E36</f>
        <v>0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'Oct 2012'!I37+C37</f>
        <v>250</v>
      </c>
      <c r="K37" s="2">
        <f>'Oct 2012'!K37+E37</f>
        <v>250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'Oct 2012'!I38+C38</f>
        <v>170</v>
      </c>
      <c r="K38" s="2">
        <f>'Oct 2012'!K38+E38</f>
        <v>255</v>
      </c>
      <c r="M38" s="6">
        <f t="shared" si="3"/>
        <v>-85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'Oct 2012'!I39+C39</f>
        <v>101.8</v>
      </c>
      <c r="K39" s="2">
        <f>'Oct 2012'!K39+E39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'Oct 2012'!I40+C40</f>
        <v>0</v>
      </c>
      <c r="K40" s="2">
        <f>'Oct 2012'!K40+E40</f>
        <v>50</v>
      </c>
      <c r="M40" s="6">
        <f t="shared" si="3"/>
        <v>-50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'Oct 2012'!I41+C41</f>
        <v>0</v>
      </c>
      <c r="K41" s="2">
        <f>'Oct 2012'!K41+E41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v>0</v>
      </c>
      <c r="E42" s="2">
        <f>O42/12</f>
        <v>41.666666666666664</v>
      </c>
      <c r="G42" s="6">
        <f t="shared" si="2"/>
        <v>-41.666666666666664</v>
      </c>
      <c r="I42" s="2">
        <f>'Oct 2012'!I42+C42</f>
        <v>0</v>
      </c>
      <c r="K42" s="2">
        <f>'Oct 2012'!K42+E42</f>
        <v>208.33333333333331</v>
      </c>
      <c r="M42" s="6">
        <f t="shared" si="3"/>
        <v>-208.33333333333331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71</v>
      </c>
      <c r="C44" s="2">
        <f>SUM(C16:C43)</f>
        <v>3489.91</v>
      </c>
      <c r="E44" s="2">
        <f>SUM(E16:E43)</f>
        <v>3650.8333333333335</v>
      </c>
      <c r="G44" s="2">
        <f>SUM(G16:G43)</f>
        <v>-160.92333333333332</v>
      </c>
      <c r="I44" s="2">
        <f>SUM(I16:I43)</f>
        <v>24612.42</v>
      </c>
      <c r="K44" s="2">
        <f>SUM(K16:K43)</f>
        <v>27398.666666666668</v>
      </c>
      <c r="M44" s="2">
        <f>SUM(M16:M43)</f>
        <v>-2786.2466666666669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72</v>
      </c>
      <c r="C49" s="2">
        <f>C11</f>
        <v>3008.13</v>
      </c>
      <c r="E49" s="2">
        <f>E11</f>
        <v>931</v>
      </c>
      <c r="G49" s="2">
        <f>G11</f>
        <v>2077.13</v>
      </c>
      <c r="I49" s="2">
        <f>I11</f>
        <v>22199.49</v>
      </c>
      <c r="K49" s="2">
        <f>K11</f>
        <v>22148</v>
      </c>
      <c r="M49" s="2">
        <f>M11</f>
        <v>51.490000000000691</v>
      </c>
      <c r="O49" s="2">
        <f>O11</f>
        <v>82165</v>
      </c>
    </row>
    <row r="50" spans="1:15" x14ac:dyDescent="0.25">
      <c r="A50" s="1" t="s">
        <v>73</v>
      </c>
      <c r="C50" s="2">
        <f>-C44</f>
        <v>-3489.91</v>
      </c>
      <c r="E50" s="2">
        <f>-E44</f>
        <v>-3650.8333333333335</v>
      </c>
      <c r="G50" s="2">
        <f>-G44</f>
        <v>160.92333333333332</v>
      </c>
      <c r="I50" s="2">
        <f>-I44</f>
        <v>-24612.42</v>
      </c>
      <c r="K50" s="2">
        <f>-K44</f>
        <v>-27398.666666666668</v>
      </c>
      <c r="M50" s="2">
        <f>-M44</f>
        <v>2786.2466666666669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-481.77999999999975</v>
      </c>
      <c r="E52" s="2">
        <f>SUM(E49:E50)</f>
        <v>-2719.8333333333335</v>
      </c>
      <c r="G52" s="2">
        <f>SUM(G49:G50)</f>
        <v>2238.0533333333333</v>
      </c>
      <c r="I52" s="2">
        <f>SUM(I49:I50)</f>
        <v>-2412.9299999999967</v>
      </c>
      <c r="K52" s="2">
        <f>SUM(K49:K50)</f>
        <v>-5250.6666666666679</v>
      </c>
      <c r="M52" s="2">
        <f>SUM(M49:M50)</f>
        <v>2837.7366666666676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4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E41" sqref="E41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74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75</v>
      </c>
      <c r="K4" s="7"/>
    </row>
    <row r="5" spans="1:15" x14ac:dyDescent="0.25">
      <c r="A5" t="s">
        <v>18</v>
      </c>
      <c r="C5" s="2">
        <v>0</v>
      </c>
      <c r="E5" s="2">
        <v>0</v>
      </c>
      <c r="G5" s="6">
        <f>C5-E5</f>
        <v>0</v>
      </c>
      <c r="I5" s="2">
        <f>'Nov 2012'!I5+C5</f>
        <v>335.16</v>
      </c>
      <c r="K5" s="2">
        <f>'Nov 2012'!K5+E5</f>
        <v>0</v>
      </c>
      <c r="M5" s="6">
        <f t="shared" ref="M5:M9" si="0">I5-K5</f>
        <v>335.16</v>
      </c>
      <c r="O5" s="2">
        <v>40000</v>
      </c>
    </row>
    <row r="6" spans="1:15" x14ac:dyDescent="0.25">
      <c r="A6" t="s">
        <v>20</v>
      </c>
      <c r="C6" s="2">
        <v>629.4</v>
      </c>
      <c r="E6" s="2">
        <f>7200/12</f>
        <v>600</v>
      </c>
      <c r="G6" s="6">
        <f t="shared" ref="G6:G9" si="1">C6-E6</f>
        <v>29.399999999999977</v>
      </c>
      <c r="I6" s="2">
        <f>'Nov 2012'!I6+C6</f>
        <v>7719.8600000000006</v>
      </c>
      <c r="K6" s="2">
        <f>'Nov 2012'!K6+E6</f>
        <v>7593</v>
      </c>
      <c r="M6" s="6">
        <f t="shared" si="0"/>
        <v>126.86000000000058</v>
      </c>
      <c r="O6" s="2">
        <v>11193</v>
      </c>
    </row>
    <row r="7" spans="1:15" x14ac:dyDescent="0.25">
      <c r="A7" t="s">
        <v>19</v>
      </c>
      <c r="C7" s="2">
        <f>13.47+5.96+23.37</f>
        <v>42.8</v>
      </c>
      <c r="E7" s="2">
        <f>O7/12</f>
        <v>61</v>
      </c>
      <c r="G7" s="6">
        <f t="shared" si="1"/>
        <v>-18.200000000000003</v>
      </c>
      <c r="I7" s="2">
        <f>'Nov 2012'!I7+C7</f>
        <v>262.85000000000002</v>
      </c>
      <c r="K7" s="2">
        <f>'Nov 2012'!K7+E7</f>
        <v>366</v>
      </c>
      <c r="M7" s="6">
        <f t="shared" si="0"/>
        <v>-103.14999999999998</v>
      </c>
      <c r="O7" s="2">
        <v>732</v>
      </c>
    </row>
    <row r="8" spans="1:15" x14ac:dyDescent="0.25">
      <c r="A8" t="s">
        <v>17</v>
      </c>
      <c r="C8" s="2">
        <v>0</v>
      </c>
      <c r="E8" s="2">
        <v>0</v>
      </c>
      <c r="G8" s="6">
        <f t="shared" si="1"/>
        <v>0</v>
      </c>
      <c r="I8" s="2">
        <f>'Nov 2012'!I8+C8</f>
        <v>13196.07</v>
      </c>
      <c r="K8" s="2">
        <f>'Nov 2012'!K8+E8</f>
        <v>13500</v>
      </c>
      <c r="M8" s="6">
        <f t="shared" si="0"/>
        <v>-303.93000000000029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'Nov 2012'!I9+C9</f>
        <v>1629.3</v>
      </c>
      <c r="K9" s="2">
        <f>'Nov 2012'!K9+E9</f>
        <v>1620</v>
      </c>
      <c r="M9" s="6">
        <f t="shared" si="0"/>
        <v>9.2999999999999545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943.75</v>
      </c>
      <c r="E11" s="2">
        <f>SUM(E5:E10)</f>
        <v>931</v>
      </c>
      <c r="G11" s="2">
        <f>SUM(G5:G10)</f>
        <v>12.749999999999986</v>
      </c>
      <c r="I11" s="2">
        <f>SUM(I5:I10)</f>
        <v>23143.24</v>
      </c>
      <c r="K11" s="2">
        <f>SUM(K5:K10)</f>
        <v>23079</v>
      </c>
      <c r="M11" s="2">
        <f>SUM(M5:M10)</f>
        <v>64.240000000000293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76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'Nov 2012'!I16+C16</f>
        <v>1800</v>
      </c>
      <c r="K16" s="2">
        <f>'Nov 2012'!K16+E16</f>
        <v>1800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1500</v>
      </c>
      <c r="E17" s="2">
        <v>1500</v>
      </c>
      <c r="G17" s="6">
        <f t="shared" si="2"/>
        <v>0</v>
      </c>
      <c r="I17" s="2">
        <f>'Nov 2012'!I17+C17</f>
        <v>3000</v>
      </c>
      <c r="K17" s="2">
        <f>'Nov 2012'!K17+E17</f>
        <v>3000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f>150*4</f>
        <v>600</v>
      </c>
      <c r="E18" s="2">
        <f>225*4</f>
        <v>900</v>
      </c>
      <c r="G18" s="6">
        <f t="shared" si="2"/>
        <v>-300</v>
      </c>
      <c r="I18" s="2">
        <f>'Nov 2012'!I18+C18</f>
        <v>900</v>
      </c>
      <c r="K18" s="2">
        <f>'Nov 2012'!K18+E18</f>
        <v>1200</v>
      </c>
      <c r="M18" s="6">
        <f t="shared" si="3"/>
        <v>-300</v>
      </c>
      <c r="O18" s="2">
        <v>3000</v>
      </c>
    </row>
    <row r="19" spans="1:15" x14ac:dyDescent="0.25">
      <c r="A19" t="s">
        <v>4</v>
      </c>
      <c r="C19" s="2">
        <v>0</v>
      </c>
      <c r="E19" s="2">
        <f>O19/4</f>
        <v>1125</v>
      </c>
      <c r="G19" s="6">
        <f t="shared" si="2"/>
        <v>-1125</v>
      </c>
      <c r="I19" s="2">
        <f>'Nov 2012'!I19+C19</f>
        <v>154</v>
      </c>
      <c r="K19" s="2">
        <f>'Nov 2012'!K19+E19</f>
        <v>2250</v>
      </c>
      <c r="M19" s="6">
        <f t="shared" si="3"/>
        <v>-2096</v>
      </c>
      <c r="O19" s="2">
        <v>4500</v>
      </c>
    </row>
    <row r="20" spans="1:15" x14ac:dyDescent="0.25">
      <c r="A20" t="s">
        <v>5</v>
      </c>
      <c r="C20" s="2">
        <v>378.91</v>
      </c>
      <c r="E20" s="2">
        <f>O20/12</f>
        <v>366.66666666666669</v>
      </c>
      <c r="G20" s="6">
        <f t="shared" si="2"/>
        <v>12.243333333333339</v>
      </c>
      <c r="I20" s="2">
        <f>'Nov 2012'!I20+C20</f>
        <v>2228.7999999999997</v>
      </c>
      <c r="K20" s="2">
        <f>'Nov 2012'!K20+E20</f>
        <v>2200</v>
      </c>
      <c r="M20" s="6">
        <f t="shared" si="3"/>
        <v>28.799999999999727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'Nov 2012'!I21+C21</f>
        <v>16605</v>
      </c>
      <c r="K21" s="2">
        <f>'Nov 2012'!K21+E21</f>
        <v>16605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'Nov 2012'!I22+C22</f>
        <v>3649</v>
      </c>
      <c r="K22" s="2">
        <f>'Nov 2012'!K22+E22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'Nov 2012'!I23+C23</f>
        <v>531</v>
      </c>
      <c r="K23" s="2">
        <f>'Nov 2012'!K23+E23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'Nov 2012'!I24+C24</f>
        <v>0</v>
      </c>
      <c r="K24" s="2">
        <f>'Nov 2012'!K24+E24</f>
        <v>0</v>
      </c>
      <c r="M24" s="6">
        <f t="shared" si="3"/>
        <v>0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'Nov 2012'!I25+C25</f>
        <v>0</v>
      </c>
      <c r="K25" s="2">
        <f>'Nov 2012'!K25+E25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f>O26/4</f>
        <v>375</v>
      </c>
      <c r="G26" s="6">
        <f t="shared" si="2"/>
        <v>-375</v>
      </c>
      <c r="I26" s="2">
        <f>'Nov 2012'!I26+C26</f>
        <v>233</v>
      </c>
      <c r="K26" s="2">
        <f>'Nov 2012'!K26+E26</f>
        <v>750</v>
      </c>
      <c r="M26" s="6">
        <f t="shared" si="3"/>
        <v>-517</v>
      </c>
      <c r="O26" s="2">
        <v>1500</v>
      </c>
    </row>
    <row r="27" spans="1:15" x14ac:dyDescent="0.25">
      <c r="A27" t="s">
        <v>10</v>
      </c>
      <c r="C27" s="2">
        <v>110</v>
      </c>
      <c r="E27" s="2">
        <f>O27/4</f>
        <v>1250</v>
      </c>
      <c r="G27" s="6">
        <f t="shared" si="2"/>
        <v>-1140</v>
      </c>
      <c r="I27" s="2">
        <f>'Nov 2012'!I27+C27</f>
        <v>110</v>
      </c>
      <c r="K27" s="2">
        <f>'Nov 2012'!K27+E27</f>
        <v>1250</v>
      </c>
      <c r="M27" s="6">
        <f t="shared" si="3"/>
        <v>-1140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'Nov 2012'!I28+C28</f>
        <v>0</v>
      </c>
      <c r="K28" s="2">
        <f>'Nov 2012'!K28+E28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45</v>
      </c>
      <c r="E29" s="2">
        <f>O29/4</f>
        <v>37.5</v>
      </c>
      <c r="G29" s="6">
        <f t="shared" si="2"/>
        <v>7.5</v>
      </c>
      <c r="I29" s="2">
        <f>'Nov 2012'!I29+C29</f>
        <v>59.75</v>
      </c>
      <c r="K29" s="2">
        <f>'Nov 2012'!K29+E29</f>
        <v>75</v>
      </c>
      <c r="M29" s="6">
        <f t="shared" si="3"/>
        <v>-15.25</v>
      </c>
      <c r="O29" s="2">
        <v>150</v>
      </c>
    </row>
    <row r="30" spans="1:15" x14ac:dyDescent="0.25">
      <c r="A30" t="s">
        <v>34</v>
      </c>
      <c r="C30" s="2">
        <v>0</v>
      </c>
      <c r="E30" s="2">
        <f>O30/4</f>
        <v>300</v>
      </c>
      <c r="G30" s="6">
        <f t="shared" si="2"/>
        <v>-300</v>
      </c>
      <c r="I30" s="2">
        <f>'Nov 2012'!I30+C30</f>
        <v>521.48</v>
      </c>
      <c r="K30" s="2">
        <f>'Nov 2012'!K30+E30</f>
        <v>900</v>
      </c>
      <c r="M30" s="6">
        <f t="shared" si="3"/>
        <v>-378.52</v>
      </c>
      <c r="O30" s="2">
        <v>1200</v>
      </c>
    </row>
    <row r="31" spans="1:15" x14ac:dyDescent="0.25">
      <c r="A31" t="s">
        <v>12</v>
      </c>
      <c r="C31" s="2">
        <v>950</v>
      </c>
      <c r="E31" s="2">
        <f>O31/4</f>
        <v>500</v>
      </c>
      <c r="G31" s="6">
        <f t="shared" si="2"/>
        <v>450</v>
      </c>
      <c r="I31" s="2">
        <f>'Nov 2012'!I31+C31</f>
        <v>950</v>
      </c>
      <c r="K31" s="2">
        <f>'Nov 2012'!K31+E31</f>
        <v>1000</v>
      </c>
      <c r="M31" s="6">
        <f t="shared" si="3"/>
        <v>-50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'Nov 2012'!I32+C32</f>
        <v>0</v>
      </c>
      <c r="K32" s="2">
        <f>'Nov 2012'!K32+E32</f>
        <v>750</v>
      </c>
      <c r="M32" s="6">
        <f t="shared" si="3"/>
        <v>-750</v>
      </c>
      <c r="O32" s="2">
        <v>1500</v>
      </c>
    </row>
    <row r="33" spans="1:16" x14ac:dyDescent="0.25">
      <c r="A33" t="s">
        <v>35</v>
      </c>
      <c r="C33" s="2">
        <v>1821.11</v>
      </c>
      <c r="E33" s="2">
        <v>1800</v>
      </c>
      <c r="G33" s="6">
        <f t="shared" si="2"/>
        <v>21.1099999999999</v>
      </c>
      <c r="I33" s="2">
        <f>'Nov 2012'!I33+C33</f>
        <v>1821.11</v>
      </c>
      <c r="K33" s="2">
        <f>'Nov 2012'!K33+E33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'Nov 2012'!I34+C34</f>
        <v>0</v>
      </c>
      <c r="K34" s="2">
        <f>'Nov 2012'!K34+E34</f>
        <v>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'Nov 2012'!I35+C35</f>
        <v>0</v>
      </c>
      <c r="K35" s="2">
        <f>'Nov 2012'!K35+E35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'Nov 2012'!I37+C37</f>
        <v>300</v>
      </c>
      <c r="K37" s="2">
        <f>'Nov 2012'!K37+E37</f>
        <v>300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'Nov 2012'!I38+C38</f>
        <v>170</v>
      </c>
      <c r="K38" s="2">
        <f>'Nov 2012'!K38+E38</f>
        <v>255</v>
      </c>
      <c r="M38" s="6">
        <f t="shared" si="3"/>
        <v>-85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'Nov 2012'!I39+C39</f>
        <v>101.8</v>
      </c>
      <c r="K39" s="2">
        <f>'Nov 2012'!K39+E39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27</v>
      </c>
      <c r="E40" s="2">
        <f>O40/4</f>
        <v>50</v>
      </c>
      <c r="G40" s="6">
        <f t="shared" si="2"/>
        <v>-23</v>
      </c>
      <c r="I40" s="2">
        <f>'Nov 2012'!I40+C40</f>
        <v>27</v>
      </c>
      <c r="K40" s="2">
        <f>'Nov 2012'!K40+E40</f>
        <v>100</v>
      </c>
      <c r="M40" s="6">
        <f t="shared" si="3"/>
        <v>-73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'Nov 2012'!I41+C41</f>
        <v>0</v>
      </c>
      <c r="K41" s="2">
        <f>'Nov 2012'!K41+E41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f>86+15</f>
        <v>101</v>
      </c>
      <c r="E42" s="2">
        <f>O42/12</f>
        <v>41.666666666666664</v>
      </c>
      <c r="G42" s="6">
        <f t="shared" si="2"/>
        <v>59.333333333333336</v>
      </c>
      <c r="I42" s="2">
        <f>'Nov 2012'!I42+C42</f>
        <v>101</v>
      </c>
      <c r="K42" s="2">
        <f>'Nov 2012'!K42+E42</f>
        <v>249.99999999999997</v>
      </c>
      <c r="M42" s="6">
        <f t="shared" si="3"/>
        <v>-148.99999999999997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77</v>
      </c>
      <c r="C44" s="2">
        <f>SUM(C16:C43)</f>
        <v>8650.52</v>
      </c>
      <c r="E44" s="2">
        <f>SUM(E16:E43)</f>
        <v>11488.333333333334</v>
      </c>
      <c r="G44" s="2">
        <f>SUM(G16:G43)</f>
        <v>-2837.813333333333</v>
      </c>
      <c r="I44" s="2">
        <f>SUM(I16:I43)</f>
        <v>33262.94</v>
      </c>
      <c r="K44" s="2">
        <f>SUM(K16:K43)</f>
        <v>38887</v>
      </c>
      <c r="M44" s="2">
        <f>SUM(M16:M43)</f>
        <v>-5624.0600000000013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78</v>
      </c>
      <c r="C49" s="2">
        <f>C11</f>
        <v>943.75</v>
      </c>
      <c r="E49" s="2">
        <f>E11</f>
        <v>931</v>
      </c>
      <c r="G49" s="2">
        <f>G11</f>
        <v>12.749999999999986</v>
      </c>
      <c r="I49" s="2">
        <f>I11</f>
        <v>23143.24</v>
      </c>
      <c r="K49" s="2">
        <f>K11</f>
        <v>23079</v>
      </c>
      <c r="M49" s="2">
        <f>M11</f>
        <v>64.240000000000293</v>
      </c>
      <c r="O49" s="2">
        <f>O11</f>
        <v>82165</v>
      </c>
    </row>
    <row r="50" spans="1:15" x14ac:dyDescent="0.25">
      <c r="A50" s="1" t="s">
        <v>79</v>
      </c>
      <c r="C50" s="2">
        <f>-C44</f>
        <v>-8650.52</v>
      </c>
      <c r="E50" s="2">
        <f>-E44</f>
        <v>-11488.333333333334</v>
      </c>
      <c r="G50" s="2">
        <f>-G44</f>
        <v>2837.813333333333</v>
      </c>
      <c r="I50" s="2">
        <f>-I44</f>
        <v>-33262.94</v>
      </c>
      <c r="K50" s="2">
        <f>-K44</f>
        <v>-38887</v>
      </c>
      <c r="M50" s="2">
        <f>-M44</f>
        <v>5624.0600000000013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-7706.77</v>
      </c>
      <c r="E52" s="2">
        <f>SUM(E49:E50)</f>
        <v>-10557.333333333334</v>
      </c>
      <c r="G52" s="2">
        <f>SUM(G49:G50)</f>
        <v>2850.563333333333</v>
      </c>
      <c r="I52" s="2">
        <f>SUM(I49:I50)</f>
        <v>-10119.700000000001</v>
      </c>
      <c r="K52" s="2">
        <f>SUM(K49:K50)</f>
        <v>-15808</v>
      </c>
      <c r="M52" s="2">
        <f>SUM(M49:M50)</f>
        <v>5688.300000000002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4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3" workbookViewId="0">
      <selection activeCell="E41" sqref="E41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80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81</v>
      </c>
      <c r="K4" s="7"/>
    </row>
    <row r="5" spans="1:15" x14ac:dyDescent="0.25">
      <c r="A5" t="s">
        <v>18</v>
      </c>
      <c r="C5" s="2">
        <f>5017.3+3628.47+1819.6</f>
        <v>10465.370000000001</v>
      </c>
      <c r="E5" s="2">
        <v>10000</v>
      </c>
      <c r="G5" s="6">
        <f>C5-E5</f>
        <v>465.3700000000008</v>
      </c>
      <c r="I5" s="2">
        <f>'Dec 2012'!I5+C5</f>
        <v>10800.53</v>
      </c>
      <c r="K5" s="2">
        <f>'Dec 2012'!K5+E5</f>
        <v>10000</v>
      </c>
      <c r="M5" s="6">
        <f t="shared" ref="M5:M9" si="0">I5-K5</f>
        <v>800.53000000000065</v>
      </c>
      <c r="O5" s="2">
        <v>40000</v>
      </c>
    </row>
    <row r="6" spans="1:15" x14ac:dyDescent="0.25">
      <c r="A6" t="s">
        <v>20</v>
      </c>
      <c r="C6" s="2">
        <v>626.48</v>
      </c>
      <c r="E6" s="2">
        <f>7200/12</f>
        <v>600</v>
      </c>
      <c r="G6" s="6">
        <f t="shared" ref="G6:G9" si="1">C6-E6</f>
        <v>26.480000000000018</v>
      </c>
      <c r="I6" s="2">
        <f>'Dec 2012'!I6+C6</f>
        <v>8346.34</v>
      </c>
      <c r="K6" s="2">
        <f>'Dec 2012'!K6+E6</f>
        <v>8193</v>
      </c>
      <c r="M6" s="6">
        <f t="shared" si="0"/>
        <v>153.34000000000015</v>
      </c>
      <c r="O6" s="2">
        <v>11193</v>
      </c>
    </row>
    <row r="7" spans="1:15" x14ac:dyDescent="0.25">
      <c r="A7" t="s">
        <v>19</v>
      </c>
      <c r="C7" s="2">
        <f>14.38+6.04+23.38</f>
        <v>43.8</v>
      </c>
      <c r="E7" s="2">
        <f>O7/12</f>
        <v>61</v>
      </c>
      <c r="G7" s="6">
        <f t="shared" si="1"/>
        <v>-17.200000000000003</v>
      </c>
      <c r="I7" s="2">
        <f>'Dec 2012'!I7+C7</f>
        <v>306.65000000000003</v>
      </c>
      <c r="K7" s="2">
        <f>'Dec 2012'!K7+E7</f>
        <v>427</v>
      </c>
      <c r="M7" s="6">
        <f t="shared" si="0"/>
        <v>-120.34999999999997</v>
      </c>
      <c r="O7" s="2">
        <v>732</v>
      </c>
    </row>
    <row r="8" spans="1:15" x14ac:dyDescent="0.25">
      <c r="A8" t="s">
        <v>17</v>
      </c>
      <c r="C8" s="2">
        <f>263.5+2068.92</f>
        <v>2332.42</v>
      </c>
      <c r="E8" s="2">
        <f>O8/4</f>
        <v>6750</v>
      </c>
      <c r="G8" s="6">
        <f t="shared" si="1"/>
        <v>-4417.58</v>
      </c>
      <c r="I8" s="2">
        <f>'Dec 2012'!I8+C8</f>
        <v>15528.49</v>
      </c>
      <c r="K8" s="2">
        <f>'Dec 2012'!K8+E8</f>
        <v>20250</v>
      </c>
      <c r="M8" s="6">
        <f t="shared" si="0"/>
        <v>-4721.51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'Dec 2012'!I9+C9</f>
        <v>1900.85</v>
      </c>
      <c r="K9" s="2">
        <f>'Dec 2012'!K9+E9</f>
        <v>1890</v>
      </c>
      <c r="M9" s="6">
        <f t="shared" si="0"/>
        <v>10.849999999999909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13739.619999999999</v>
      </c>
      <c r="E11" s="2">
        <f>SUM(E5:E10)</f>
        <v>17681</v>
      </c>
      <c r="G11" s="2">
        <f>SUM(G5:G10)</f>
        <v>-3941.3799999999987</v>
      </c>
      <c r="I11" s="2">
        <f>SUM(I5:I10)</f>
        <v>36882.86</v>
      </c>
      <c r="K11" s="2">
        <f>SUM(K5:K10)</f>
        <v>40760</v>
      </c>
      <c r="M11" s="2">
        <f>SUM(M5:M10)</f>
        <v>-3877.1399999999994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82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'Dec 2012'!I16+C16</f>
        <v>2100</v>
      </c>
      <c r="K16" s="2">
        <f>'Dec 2012'!K16+E16</f>
        <v>2100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'Dec 2012'!I17+C17</f>
        <v>3000</v>
      </c>
      <c r="K17" s="2">
        <f>'Dec 2012'!K17+E17</f>
        <v>3000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'Dec 2012'!I18+C18</f>
        <v>900</v>
      </c>
      <c r="K18" s="2">
        <f>'Dec 2012'!K18+E18</f>
        <v>1200</v>
      </c>
      <c r="M18" s="6">
        <f t="shared" si="3"/>
        <v>-300</v>
      </c>
      <c r="O18" s="2">
        <v>3000</v>
      </c>
    </row>
    <row r="19" spans="1:15" x14ac:dyDescent="0.25">
      <c r="A19" t="s">
        <v>4</v>
      </c>
      <c r="C19" s="2">
        <v>0</v>
      </c>
      <c r="E19" s="2">
        <v>0</v>
      </c>
      <c r="G19" s="6">
        <f t="shared" si="2"/>
        <v>0</v>
      </c>
      <c r="I19" s="2">
        <f>'Dec 2012'!I19+C19</f>
        <v>154</v>
      </c>
      <c r="K19" s="2">
        <f>'Dec 2012'!K19+E19</f>
        <v>2250</v>
      </c>
      <c r="M19" s="6">
        <f t="shared" si="3"/>
        <v>-2096</v>
      </c>
      <c r="O19" s="2">
        <v>4500</v>
      </c>
    </row>
    <row r="20" spans="1:15" x14ac:dyDescent="0.25">
      <c r="A20" t="s">
        <v>5</v>
      </c>
      <c r="C20" s="2">
        <v>375.31</v>
      </c>
      <c r="E20" s="2">
        <f>O20/12</f>
        <v>366.66666666666669</v>
      </c>
      <c r="G20" s="6">
        <f t="shared" si="2"/>
        <v>8.6433333333333167</v>
      </c>
      <c r="I20" s="2">
        <f>'Dec 2012'!I20+C20</f>
        <v>2604.1099999999997</v>
      </c>
      <c r="K20" s="2">
        <f>'Dec 2012'!K20+E20</f>
        <v>2566.6666666666665</v>
      </c>
      <c r="M20" s="6">
        <f t="shared" si="3"/>
        <v>37.443333333333157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'Dec 2012'!I21+C21</f>
        <v>19372.5</v>
      </c>
      <c r="K21" s="2">
        <f>'Dec 2012'!K21+E21</f>
        <v>19372.5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'Dec 2012'!I22+C22</f>
        <v>3649</v>
      </c>
      <c r="K22" s="2">
        <f>'Dec 2012'!K22+E22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'Dec 2012'!I23+C23</f>
        <v>531</v>
      </c>
      <c r="K23" s="2">
        <f>'Dec 2012'!K23+E23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f>307.08</f>
        <v>307.08</v>
      </c>
      <c r="E24" s="2">
        <v>335</v>
      </c>
      <c r="G24" s="6">
        <f t="shared" si="2"/>
        <v>-27.920000000000016</v>
      </c>
      <c r="I24" s="2">
        <f>'Dec 2012'!I24+C24</f>
        <v>307.08</v>
      </c>
      <c r="K24" s="2">
        <f>'Dec 2012'!K24+E24</f>
        <v>335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'Dec 2012'!I25+C25</f>
        <v>0</v>
      </c>
      <c r="K25" s="2">
        <f>'Dec 2012'!K25+E25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'Dec 2012'!I26+C26</f>
        <v>233</v>
      </c>
      <c r="K26" s="2">
        <f>'Dec 2012'!K26+E26</f>
        <v>750</v>
      </c>
      <c r="M26" s="6">
        <f t="shared" si="3"/>
        <v>-517</v>
      </c>
      <c r="O26" s="2">
        <v>1500</v>
      </c>
    </row>
    <row r="27" spans="1:15" x14ac:dyDescent="0.25">
      <c r="A27" t="s">
        <v>10</v>
      </c>
      <c r="C27" s="2">
        <f>110+422+133+216</f>
        <v>881</v>
      </c>
      <c r="E27" s="2">
        <f>O27/4</f>
        <v>1250</v>
      </c>
      <c r="G27" s="6">
        <f t="shared" si="2"/>
        <v>-369</v>
      </c>
      <c r="I27" s="2">
        <f>'Dec 2012'!I27+C27</f>
        <v>991</v>
      </c>
      <c r="K27" s="2">
        <f>'Dec 2012'!K27+E27</f>
        <v>2500</v>
      </c>
      <c r="M27" s="6">
        <f t="shared" si="3"/>
        <v>-1509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'Dec 2012'!I28+C28</f>
        <v>0</v>
      </c>
      <c r="K28" s="2">
        <f>'Dec 2012'!K28+E28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f>5.75+10.1</f>
        <v>15.85</v>
      </c>
      <c r="E29" s="2">
        <v>0</v>
      </c>
      <c r="G29" s="6">
        <f t="shared" si="2"/>
        <v>15.85</v>
      </c>
      <c r="I29" s="2">
        <f>'Dec 2012'!I29+C29</f>
        <v>75.599999999999994</v>
      </c>
      <c r="K29" s="2">
        <f>'Dec 2012'!K29+E29</f>
        <v>75</v>
      </c>
      <c r="M29" s="6">
        <f t="shared" si="3"/>
        <v>0.59999999999999432</v>
      </c>
      <c r="O29" s="2">
        <v>150</v>
      </c>
    </row>
    <row r="30" spans="1:15" x14ac:dyDescent="0.25">
      <c r="A30" t="s">
        <v>34</v>
      </c>
      <c r="C30" s="2">
        <v>0</v>
      </c>
      <c r="E30" s="2">
        <v>0</v>
      </c>
      <c r="G30" s="6">
        <f t="shared" si="2"/>
        <v>0</v>
      </c>
      <c r="I30" s="2">
        <f>'Dec 2012'!I30+C30</f>
        <v>521.48</v>
      </c>
      <c r="K30" s="2">
        <f>'Dec 2012'!K30+E30</f>
        <v>900</v>
      </c>
      <c r="M30" s="6">
        <f t="shared" si="3"/>
        <v>-378.52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'Dec 2012'!I31+C31</f>
        <v>950</v>
      </c>
      <c r="K31" s="2">
        <f>'Dec 2012'!K31+E31</f>
        <v>1000</v>
      </c>
      <c r="M31" s="6">
        <f t="shared" si="3"/>
        <v>-50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'Dec 2012'!I32+C32</f>
        <v>0</v>
      </c>
      <c r="K32" s="2">
        <f>'Dec 2012'!K32+E32</f>
        <v>875</v>
      </c>
      <c r="M32" s="6">
        <f t="shared" si="3"/>
        <v>-875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'Dec 2012'!I33+C33</f>
        <v>1821.11</v>
      </c>
      <c r="K33" s="2">
        <f>'Dec 2012'!K33+E33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'Dec 2012'!I34+C34</f>
        <v>0</v>
      </c>
      <c r="K34" s="2">
        <f>'Dec 2012'!K34+E34</f>
        <v>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'Dec 2012'!I35+C35</f>
        <v>0</v>
      </c>
      <c r="K35" s="2">
        <f>'Dec 2012'!K35+E35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'Dec 2012'!I37+C37</f>
        <v>350</v>
      </c>
      <c r="K37" s="2">
        <f>'Dec 2012'!K37+E37</f>
        <v>350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68</v>
      </c>
      <c r="E38" s="2">
        <v>0</v>
      </c>
      <c r="G38" s="6">
        <f t="shared" si="2"/>
        <v>68</v>
      </c>
      <c r="I38" s="2">
        <f>'Dec 2012'!I38+C38</f>
        <v>238</v>
      </c>
      <c r="K38" s="2">
        <f>'Dec 2012'!K38+E38</f>
        <v>255</v>
      </c>
      <c r="M38" s="6">
        <f t="shared" si="3"/>
        <v>-17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'Dec 2012'!I39+C39</f>
        <v>101.8</v>
      </c>
      <c r="K39" s="2">
        <f>'Dec 2012'!K39+E39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28.68</v>
      </c>
      <c r="E40" s="2">
        <f>O40/4</f>
        <v>50</v>
      </c>
      <c r="G40" s="6">
        <f t="shared" si="2"/>
        <v>-21.32</v>
      </c>
      <c r="I40" s="2">
        <f>'Dec 2012'!I40+C40</f>
        <v>55.68</v>
      </c>
      <c r="K40" s="2">
        <f>'Dec 2012'!K40+E40</f>
        <v>150</v>
      </c>
      <c r="M40" s="6">
        <f t="shared" si="3"/>
        <v>-94.32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'Dec 2012'!I41+C41</f>
        <v>0</v>
      </c>
      <c r="K41" s="2">
        <f>'Dec 2012'!K41+E41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f>75+82.4</f>
        <v>157.4</v>
      </c>
      <c r="E42" s="2">
        <f>O42/12</f>
        <v>41.666666666666664</v>
      </c>
      <c r="G42" s="6">
        <f t="shared" si="2"/>
        <v>115.73333333333335</v>
      </c>
      <c r="I42" s="2">
        <f>'Dec 2012'!I42+C42</f>
        <v>258.39999999999998</v>
      </c>
      <c r="K42" s="2">
        <f>'Dec 2012'!K42+E42</f>
        <v>291.66666666666663</v>
      </c>
      <c r="M42" s="6">
        <f t="shared" si="3"/>
        <v>-33.266666666666652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83</v>
      </c>
      <c r="C44" s="2">
        <f>SUM(C16:C43)</f>
        <v>4950.82</v>
      </c>
      <c r="E44" s="2">
        <f>SUM(E16:E43)</f>
        <v>5285.8333333333339</v>
      </c>
      <c r="G44" s="2">
        <f>SUM(G16:G43)</f>
        <v>-335.01333333333332</v>
      </c>
      <c r="I44" s="2">
        <f>SUM(I16:I43)</f>
        <v>38213.760000000009</v>
      </c>
      <c r="K44" s="2">
        <f>SUM(K16:K43)</f>
        <v>44172.833333333328</v>
      </c>
      <c r="M44" s="2">
        <f>SUM(M16:M43)</f>
        <v>-5959.0733333333337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84</v>
      </c>
      <c r="C49" s="2">
        <f>C11</f>
        <v>13739.619999999999</v>
      </c>
      <c r="E49" s="2">
        <f>E11</f>
        <v>17681</v>
      </c>
      <c r="G49" s="2">
        <f>G11</f>
        <v>-3941.3799999999987</v>
      </c>
      <c r="I49" s="2">
        <f>I11</f>
        <v>36882.86</v>
      </c>
      <c r="K49" s="2">
        <f>K11</f>
        <v>40760</v>
      </c>
      <c r="M49" s="2">
        <f>M11</f>
        <v>-3877.1399999999994</v>
      </c>
      <c r="O49" s="2">
        <f>O11</f>
        <v>82165</v>
      </c>
    </row>
    <row r="50" spans="1:15" x14ac:dyDescent="0.25">
      <c r="A50" s="1" t="s">
        <v>85</v>
      </c>
      <c r="C50" s="2">
        <f>-C44</f>
        <v>-4950.82</v>
      </c>
      <c r="E50" s="2">
        <f>-E44</f>
        <v>-5285.8333333333339</v>
      </c>
      <c r="G50" s="2">
        <f>-G44</f>
        <v>335.01333333333332</v>
      </c>
      <c r="I50" s="2">
        <f>-I44</f>
        <v>-38213.760000000009</v>
      </c>
      <c r="K50" s="2">
        <f>-K44</f>
        <v>-44172.833333333328</v>
      </c>
      <c r="M50" s="2">
        <f>-M44</f>
        <v>5959.0733333333337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8788.7999999999993</v>
      </c>
      <c r="E52" s="2">
        <f>SUM(E49:E50)</f>
        <v>12395.166666666666</v>
      </c>
      <c r="G52" s="2">
        <f>SUM(G49:G50)</f>
        <v>-3606.3666666666654</v>
      </c>
      <c r="I52" s="2">
        <f>SUM(I49:I50)</f>
        <v>-1330.9000000000087</v>
      </c>
      <c r="K52" s="2">
        <f>SUM(K49:K50)</f>
        <v>-3412.8333333333285</v>
      </c>
      <c r="M52" s="2">
        <f>SUM(M49:M50)</f>
        <v>2081.9333333333343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.7" right="0.7" top="0.75" bottom="0.75" header="0.3" footer="0.3"/>
  <pageSetup scale="72" orientation="landscape" horizontalDpi="300" verticalDpi="0" r:id="rId1"/>
  <ignoredErrors>
    <ignoredError sqref="E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E20" sqref="E2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86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87</v>
      </c>
      <c r="K4" s="7"/>
    </row>
    <row r="5" spans="1:15" x14ac:dyDescent="0.25">
      <c r="A5" t="s">
        <v>18</v>
      </c>
      <c r="C5" s="2">
        <f>2631.27+8167.61+3498.37+9463.16+4898.82</f>
        <v>28659.23</v>
      </c>
      <c r="E5" s="2">
        <v>26000</v>
      </c>
      <c r="G5" s="6">
        <f>C5-E5</f>
        <v>2659.2299999999996</v>
      </c>
      <c r="I5" s="2">
        <f>'Jan 2013'!I5+C5</f>
        <v>39459.760000000002</v>
      </c>
      <c r="K5" s="2">
        <f>'Jan 2013'!K5+E5</f>
        <v>36000</v>
      </c>
      <c r="M5" s="6">
        <f t="shared" ref="M5:M9" si="0">I5-K5</f>
        <v>3459.760000000002</v>
      </c>
      <c r="O5" s="2">
        <v>40000</v>
      </c>
    </row>
    <row r="6" spans="1:15" x14ac:dyDescent="0.25">
      <c r="A6" t="s">
        <v>20</v>
      </c>
      <c r="C6" s="2">
        <v>611.42999999999995</v>
      </c>
      <c r="E6" s="2">
        <f>7200/12</f>
        <v>600</v>
      </c>
      <c r="G6" s="6">
        <f t="shared" ref="G6:G9" si="1">C6-E6</f>
        <v>11.42999999999995</v>
      </c>
      <c r="I6" s="2">
        <f>'Jan 2013'!I6+C6</f>
        <v>8957.77</v>
      </c>
      <c r="K6" s="2">
        <f>'Jan 2013'!K6+E6</f>
        <v>8793</v>
      </c>
      <c r="M6" s="6">
        <f t="shared" si="0"/>
        <v>164.77000000000044</v>
      </c>
      <c r="O6" s="2">
        <v>11193</v>
      </c>
    </row>
    <row r="7" spans="1:15" x14ac:dyDescent="0.25">
      <c r="A7" t="s">
        <v>19</v>
      </c>
      <c r="C7" s="2">
        <f>15.79+5.53+21.13</f>
        <v>42.45</v>
      </c>
      <c r="E7" s="2">
        <f>O7/12</f>
        <v>61</v>
      </c>
      <c r="G7" s="6">
        <f t="shared" si="1"/>
        <v>-18.549999999999997</v>
      </c>
      <c r="I7" s="2">
        <f>'Jan 2013'!I7+C7</f>
        <v>349.1</v>
      </c>
      <c r="K7" s="2">
        <f>'Jan 2013'!K7+E7</f>
        <v>488</v>
      </c>
      <c r="M7" s="6">
        <f t="shared" si="0"/>
        <v>-138.89999999999998</v>
      </c>
      <c r="O7" s="2">
        <v>732</v>
      </c>
    </row>
    <row r="8" spans="1:15" x14ac:dyDescent="0.25">
      <c r="A8" t="s">
        <v>17</v>
      </c>
      <c r="C8" s="2">
        <v>3508.8</v>
      </c>
      <c r="E8" s="2">
        <v>0</v>
      </c>
      <c r="G8" s="6">
        <f t="shared" si="1"/>
        <v>3508.8</v>
      </c>
      <c r="I8" s="2">
        <f>'Jan 2013'!I8+C8</f>
        <v>19037.29</v>
      </c>
      <c r="K8" s="2">
        <f>'Jan 2013'!K8+E8</f>
        <v>20250</v>
      </c>
      <c r="M8" s="6">
        <f t="shared" si="0"/>
        <v>-1212.7099999999991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'Jan 2013'!I9+C9</f>
        <v>2172.4</v>
      </c>
      <c r="K9" s="2">
        <f>'Jan 2013'!K9+E9</f>
        <v>2160</v>
      </c>
      <c r="M9" s="6">
        <f t="shared" si="0"/>
        <v>12.400000000000091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33093.460000000006</v>
      </c>
      <c r="E11" s="2">
        <f>SUM(E5:E10)</f>
        <v>26931</v>
      </c>
      <c r="G11" s="2">
        <f>SUM(G5:G10)</f>
        <v>6162.46</v>
      </c>
      <c r="I11" s="2">
        <f>SUM(I5:I10)</f>
        <v>69976.319999999992</v>
      </c>
      <c r="K11" s="2">
        <f>SUM(K5:K10)</f>
        <v>67691</v>
      </c>
      <c r="M11" s="2">
        <f>SUM(M5:M10)</f>
        <v>2285.3200000000033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88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'Jan 2013'!I16+C16</f>
        <v>2400</v>
      </c>
      <c r="K16" s="2">
        <f>'Jan 2013'!K16+E16</f>
        <v>2400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0</v>
      </c>
      <c r="E17" s="2">
        <v>0</v>
      </c>
      <c r="G17" s="6">
        <f t="shared" si="2"/>
        <v>0</v>
      </c>
      <c r="I17" s="2">
        <f>'Jan 2013'!I17+C17</f>
        <v>3000</v>
      </c>
      <c r="K17" s="2">
        <f>'Jan 2013'!K17+E17</f>
        <v>3000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v>0</v>
      </c>
      <c r="E18" s="2">
        <v>0</v>
      </c>
      <c r="G18" s="6">
        <f t="shared" si="2"/>
        <v>0</v>
      </c>
      <c r="I18" s="2">
        <f>'Jan 2013'!I18+C18</f>
        <v>900</v>
      </c>
      <c r="K18" s="2">
        <f>'Jan 2013'!K18+E18</f>
        <v>1200</v>
      </c>
      <c r="M18" s="6">
        <f t="shared" si="3"/>
        <v>-300</v>
      </c>
      <c r="O18" s="2">
        <v>3000</v>
      </c>
    </row>
    <row r="19" spans="1:15" x14ac:dyDescent="0.25">
      <c r="A19" t="s">
        <v>4</v>
      </c>
      <c r="C19" s="2">
        <v>13</v>
      </c>
      <c r="E19" s="2">
        <v>0</v>
      </c>
      <c r="G19" s="6">
        <f t="shared" si="2"/>
        <v>13</v>
      </c>
      <c r="I19" s="2">
        <f>'Jan 2013'!I19+C19</f>
        <v>167</v>
      </c>
      <c r="K19" s="2">
        <f>'Jan 2013'!K19+E19</f>
        <v>2250</v>
      </c>
      <c r="M19" s="6">
        <f t="shared" si="3"/>
        <v>-2083</v>
      </c>
      <c r="O19" s="2">
        <v>4500</v>
      </c>
    </row>
    <row r="20" spans="1:15" x14ac:dyDescent="0.25">
      <c r="A20" t="s">
        <v>5</v>
      </c>
      <c r="C20" s="2">
        <v>428.98</v>
      </c>
      <c r="E20" s="2">
        <f>O20/12</f>
        <v>366.66666666666669</v>
      </c>
      <c r="G20" s="6">
        <f t="shared" si="2"/>
        <v>62.313333333333333</v>
      </c>
      <c r="I20" s="2">
        <f>'Jan 2013'!I20+C20</f>
        <v>3033.0899999999997</v>
      </c>
      <c r="K20" s="2">
        <f>'Jan 2013'!K20+E20</f>
        <v>2933.333333333333</v>
      </c>
      <c r="M20" s="6">
        <f t="shared" si="3"/>
        <v>99.756666666666661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'Jan 2013'!I21+C21</f>
        <v>22140</v>
      </c>
      <c r="K21" s="2">
        <f>'Jan 2013'!K21+E21</f>
        <v>22140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'Jan 2013'!I22+C22</f>
        <v>3649</v>
      </c>
      <c r="K22" s="2">
        <f>'Jan 2013'!K22+E22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'Jan 2013'!I23+C23</f>
        <v>531</v>
      </c>
      <c r="K23" s="2">
        <f>'Jan 2013'!K23+E23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'Jan 2013'!I24+C24</f>
        <v>307.08</v>
      </c>
      <c r="K24" s="2">
        <f>'Jan 2013'!K24+E24</f>
        <v>335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'Jan 2013'!I25+C25</f>
        <v>0</v>
      </c>
      <c r="K25" s="2">
        <f>'Jan 2013'!K25+E25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v>0</v>
      </c>
      <c r="G26" s="6">
        <f t="shared" si="2"/>
        <v>0</v>
      </c>
      <c r="I26" s="2">
        <f>'Jan 2013'!I26+C26</f>
        <v>233</v>
      </c>
      <c r="K26" s="2">
        <f>'Jan 2013'!K26+E26</f>
        <v>750</v>
      </c>
      <c r="M26" s="6">
        <f t="shared" si="3"/>
        <v>-517</v>
      </c>
      <c r="O26" s="2">
        <v>1500</v>
      </c>
    </row>
    <row r="27" spans="1:15" x14ac:dyDescent="0.25">
      <c r="A27" t="s">
        <v>10</v>
      </c>
      <c r="C27" s="2">
        <f>110+406</f>
        <v>516</v>
      </c>
      <c r="E27" s="2">
        <f>O27/4</f>
        <v>1250</v>
      </c>
      <c r="G27" s="6">
        <f t="shared" si="2"/>
        <v>-734</v>
      </c>
      <c r="I27" s="2">
        <f>'Jan 2013'!I27+C27</f>
        <v>1507</v>
      </c>
      <c r="K27" s="2">
        <f>'Jan 2013'!K27+E27</f>
        <v>3750</v>
      </c>
      <c r="M27" s="6">
        <f t="shared" si="3"/>
        <v>-2243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'Jan 2013'!I28+C28</f>
        <v>0</v>
      </c>
      <c r="K28" s="2">
        <f>'Jan 2013'!K28+E28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v>0</v>
      </c>
      <c r="G29" s="6">
        <f t="shared" si="2"/>
        <v>0</v>
      </c>
      <c r="I29" s="2">
        <f>'Jan 2013'!I29+C29</f>
        <v>75.599999999999994</v>
      </c>
      <c r="K29" s="2">
        <f>'Jan 2013'!K29+E29</f>
        <v>75</v>
      </c>
      <c r="M29" s="6">
        <f t="shared" si="3"/>
        <v>0.59999999999999432</v>
      </c>
      <c r="O29" s="2">
        <v>150</v>
      </c>
    </row>
    <row r="30" spans="1:15" x14ac:dyDescent="0.25">
      <c r="A30" t="s">
        <v>34</v>
      </c>
      <c r="C30" s="2">
        <v>0</v>
      </c>
      <c r="E30" s="2">
        <v>0</v>
      </c>
      <c r="G30" s="6">
        <f t="shared" si="2"/>
        <v>0</v>
      </c>
      <c r="I30" s="2">
        <f>'Jan 2013'!I30+C30</f>
        <v>521.48</v>
      </c>
      <c r="K30" s="2">
        <f>'Jan 2013'!K30+E30</f>
        <v>900</v>
      </c>
      <c r="M30" s="6">
        <f t="shared" si="3"/>
        <v>-378.52</v>
      </c>
      <c r="O30" s="2">
        <v>1200</v>
      </c>
    </row>
    <row r="31" spans="1:15" x14ac:dyDescent="0.25">
      <c r="A31" t="s">
        <v>12</v>
      </c>
      <c r="C31" s="2">
        <v>0</v>
      </c>
      <c r="E31" s="2">
        <v>0</v>
      </c>
      <c r="G31" s="6">
        <f t="shared" si="2"/>
        <v>0</v>
      </c>
      <c r="I31" s="2">
        <f>'Jan 2013'!I31+C31</f>
        <v>950</v>
      </c>
      <c r="K31" s="2">
        <f>'Jan 2013'!K31+E31</f>
        <v>1000</v>
      </c>
      <c r="M31" s="6">
        <f t="shared" si="3"/>
        <v>-50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'Jan 2013'!I32+C32</f>
        <v>0</v>
      </c>
      <c r="K32" s="2">
        <f>'Jan 2013'!K32+E32</f>
        <v>1000</v>
      </c>
      <c r="M32" s="6">
        <f t="shared" si="3"/>
        <v>-1000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'Jan 2013'!I33+C33</f>
        <v>1821.11</v>
      </c>
      <c r="K33" s="2">
        <f>'Jan 2013'!K33+E33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900</v>
      </c>
      <c r="E34" s="2">
        <v>900</v>
      </c>
      <c r="G34" s="6">
        <f t="shared" si="2"/>
        <v>0</v>
      </c>
      <c r="I34" s="2">
        <f>'Jan 2013'!I34+C34</f>
        <v>900</v>
      </c>
      <c r="K34" s="2">
        <f>'Jan 2013'!K34+E34</f>
        <v>900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'Jan 2013'!I35+C35</f>
        <v>0</v>
      </c>
      <c r="K35" s="2">
        <f>'Jan 2013'!K35+E35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'Jan 2013'!I37+C37</f>
        <v>400</v>
      </c>
      <c r="K37" s="2">
        <f>'Jan 2013'!K37+E37</f>
        <v>400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'Jan 2013'!I38+C38</f>
        <v>238</v>
      </c>
      <c r="K38" s="2">
        <f>'Jan 2013'!K38+E38</f>
        <v>255</v>
      </c>
      <c r="M38" s="6">
        <f t="shared" si="3"/>
        <v>-17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'Jan 2013'!I39+C39</f>
        <v>101.8</v>
      </c>
      <c r="K39" s="2">
        <f>'Jan 2013'!K39+E39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v>0</v>
      </c>
      <c r="G40" s="6">
        <f t="shared" si="2"/>
        <v>0</v>
      </c>
      <c r="I40" s="2">
        <f>'Jan 2013'!I40+C40</f>
        <v>55.68</v>
      </c>
      <c r="K40" s="2">
        <f>'Jan 2013'!K40+E40</f>
        <v>150</v>
      </c>
      <c r="M40" s="6">
        <f t="shared" si="3"/>
        <v>-94.32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'Jan 2013'!I41+C41</f>
        <v>0</v>
      </c>
      <c r="K41" s="2">
        <f>'Jan 2013'!K41+E41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f>310.65+243</f>
        <v>553.65</v>
      </c>
      <c r="E42" s="2">
        <f>O42/12</f>
        <v>41.666666666666664</v>
      </c>
      <c r="G42" s="6">
        <f t="shared" si="2"/>
        <v>511.98333333333329</v>
      </c>
      <c r="I42" s="2">
        <f>'Jan 2013'!I42+C42</f>
        <v>812.05</v>
      </c>
      <c r="K42" s="2">
        <f>'Jan 2013'!K42+E42</f>
        <v>333.33333333333331</v>
      </c>
      <c r="M42" s="6">
        <f t="shared" si="3"/>
        <v>478.71666666666664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95</v>
      </c>
      <c r="C44" s="2">
        <f>SUM(C16:C43)</f>
        <v>5529.1299999999992</v>
      </c>
      <c r="E44" s="2">
        <f>SUM(E16:E43)</f>
        <v>5800.8333333333339</v>
      </c>
      <c r="G44" s="2">
        <f>SUM(G16:G43)</f>
        <v>-271.70333333333343</v>
      </c>
      <c r="I44" s="2">
        <f>SUM(I16:I43)</f>
        <v>43742.890000000007</v>
      </c>
      <c r="K44" s="2">
        <f>SUM(K16:K43)</f>
        <v>49973.666666666664</v>
      </c>
      <c r="M44" s="2">
        <f>SUM(M16:M43)</f>
        <v>-6230.7766666666676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89</v>
      </c>
      <c r="C49" s="2">
        <f>C11</f>
        <v>33093.460000000006</v>
      </c>
      <c r="E49" s="2">
        <f>E11</f>
        <v>26931</v>
      </c>
      <c r="G49" s="2">
        <f>G11</f>
        <v>6162.46</v>
      </c>
      <c r="I49" s="2">
        <f>I11</f>
        <v>69976.319999999992</v>
      </c>
      <c r="K49" s="2">
        <f>K11</f>
        <v>67691</v>
      </c>
      <c r="M49" s="2">
        <f>M11</f>
        <v>2285.3200000000033</v>
      </c>
      <c r="O49" s="2">
        <f>O11</f>
        <v>82165</v>
      </c>
    </row>
    <row r="50" spans="1:15" x14ac:dyDescent="0.25">
      <c r="A50" s="1" t="s">
        <v>90</v>
      </c>
      <c r="C50" s="2">
        <f>-C44</f>
        <v>-5529.1299999999992</v>
      </c>
      <c r="E50" s="2">
        <f>-E44</f>
        <v>-5800.8333333333339</v>
      </c>
      <c r="G50" s="2">
        <f>-G44</f>
        <v>271.70333333333343</v>
      </c>
      <c r="I50" s="2">
        <f>-I44</f>
        <v>-43742.890000000007</v>
      </c>
      <c r="K50" s="2">
        <f>-K44</f>
        <v>-49973.666666666664</v>
      </c>
      <c r="M50" s="2">
        <f>-M44</f>
        <v>6230.7766666666676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27564.330000000009</v>
      </c>
      <c r="E52" s="2">
        <f>SUM(E49:E50)</f>
        <v>21130.166666666664</v>
      </c>
      <c r="G52" s="2">
        <f>SUM(G49:G50)</f>
        <v>6434.1633333333339</v>
      </c>
      <c r="I52" s="2">
        <f>SUM(I49:I50)</f>
        <v>26233.429999999986</v>
      </c>
      <c r="K52" s="2">
        <f>SUM(K49:K50)</f>
        <v>17717.333333333336</v>
      </c>
      <c r="M52" s="2">
        <f>SUM(M49:M50)</f>
        <v>8516.0966666666718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.7" right="0.7" top="0.75" bottom="0.75" header="0.3" footer="0.3"/>
  <pageSetup scale="66" fitToWidth="0" orientation="landscape" horizontalDpi="48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E20" sqref="E20"/>
    </sheetView>
  </sheetViews>
  <sheetFormatPr defaultRowHeight="15" x14ac:dyDescent="0.25"/>
  <cols>
    <col min="2" max="2" width="20" customWidth="1"/>
    <col min="3" max="3" width="12.5703125" style="2" bestFit="1" customWidth="1"/>
    <col min="5" max="5" width="12.85546875" style="2" customWidth="1"/>
    <col min="7" max="7" width="10.7109375" customWidth="1"/>
    <col min="9" max="9" width="13.140625" style="2" customWidth="1"/>
    <col min="11" max="11" width="13.140625" customWidth="1"/>
    <col min="13" max="13" width="13.28515625" customWidth="1"/>
    <col min="15" max="15" width="13.140625" customWidth="1"/>
  </cols>
  <sheetData>
    <row r="1" spans="1:15" x14ac:dyDescent="0.25">
      <c r="E1" s="3" t="s">
        <v>91</v>
      </c>
      <c r="I1" s="3"/>
      <c r="J1" s="3" t="s">
        <v>24</v>
      </c>
      <c r="K1" s="2"/>
      <c r="O1" s="2"/>
    </row>
    <row r="2" spans="1:15" x14ac:dyDescent="0.25">
      <c r="I2" s="8" t="s">
        <v>23</v>
      </c>
      <c r="K2" s="9" t="s">
        <v>23</v>
      </c>
      <c r="M2" s="5" t="s">
        <v>23</v>
      </c>
      <c r="O2" s="10" t="s">
        <v>54</v>
      </c>
    </row>
    <row r="3" spans="1:15" x14ac:dyDescent="0.25">
      <c r="A3" s="11" t="s">
        <v>25</v>
      </c>
      <c r="C3" s="4" t="s">
        <v>14</v>
      </c>
      <c r="E3" s="4" t="s">
        <v>15</v>
      </c>
      <c r="G3" s="5" t="s">
        <v>16</v>
      </c>
      <c r="I3" s="4" t="s">
        <v>14</v>
      </c>
      <c r="K3" s="4" t="s">
        <v>15</v>
      </c>
      <c r="M3" s="4" t="s">
        <v>16</v>
      </c>
      <c r="O3" s="2"/>
    </row>
    <row r="4" spans="1:15" x14ac:dyDescent="0.25">
      <c r="A4" s="1" t="s">
        <v>92</v>
      </c>
      <c r="K4" s="7"/>
    </row>
    <row r="5" spans="1:15" x14ac:dyDescent="0.25">
      <c r="A5" t="s">
        <v>18</v>
      </c>
      <c r="C5" s="2">
        <v>1452.3</v>
      </c>
      <c r="E5" s="2">
        <v>4000</v>
      </c>
      <c r="G5" s="6">
        <f>C5-E5</f>
        <v>-2547.6999999999998</v>
      </c>
      <c r="I5" s="2">
        <f>'Feb 2013'!I5+C5</f>
        <v>40912.060000000005</v>
      </c>
      <c r="K5" s="2">
        <f>'Feb 2013'!K5+E5</f>
        <v>40000</v>
      </c>
      <c r="M5" s="6">
        <f t="shared" ref="M5:M9" si="0">I5-K5</f>
        <v>912.06000000000495</v>
      </c>
      <c r="O5" s="2">
        <v>40000</v>
      </c>
    </row>
    <row r="6" spans="1:15" x14ac:dyDescent="0.25">
      <c r="A6" t="s">
        <v>20</v>
      </c>
      <c r="C6" s="2">
        <v>582.34</v>
      </c>
      <c r="E6" s="2">
        <f>7200/12</f>
        <v>600</v>
      </c>
      <c r="G6" s="6">
        <f t="shared" ref="G6:G9" si="1">C6-E6</f>
        <v>-17.659999999999968</v>
      </c>
      <c r="I6" s="2">
        <f>'Feb 2013'!I6+C6</f>
        <v>9540.11</v>
      </c>
      <c r="K6" s="2">
        <f>'Feb 2013'!K6+E6</f>
        <v>9393</v>
      </c>
      <c r="M6" s="6">
        <f t="shared" si="0"/>
        <v>147.11000000000058</v>
      </c>
      <c r="O6" s="2">
        <v>11193</v>
      </c>
    </row>
    <row r="7" spans="1:15" x14ac:dyDescent="0.25">
      <c r="A7" t="s">
        <v>19</v>
      </c>
      <c r="C7" s="2">
        <f>19.95+6.2+23.41</f>
        <v>49.56</v>
      </c>
      <c r="E7" s="2">
        <f>O7/12</f>
        <v>61</v>
      </c>
      <c r="G7" s="6">
        <f t="shared" si="1"/>
        <v>-11.439999999999998</v>
      </c>
      <c r="I7" s="2">
        <f>'Feb 2013'!I7+C7</f>
        <v>398.66</v>
      </c>
      <c r="K7" s="2">
        <f>'Feb 2013'!K7+E7</f>
        <v>549</v>
      </c>
      <c r="M7" s="6">
        <f t="shared" si="0"/>
        <v>-150.33999999999997</v>
      </c>
      <c r="O7" s="2">
        <v>732</v>
      </c>
    </row>
    <row r="8" spans="1:15" x14ac:dyDescent="0.25">
      <c r="A8" t="s">
        <v>17</v>
      </c>
      <c r="C8" s="2">
        <v>0</v>
      </c>
      <c r="E8" s="2">
        <v>0</v>
      </c>
      <c r="G8" s="6">
        <f t="shared" si="1"/>
        <v>0</v>
      </c>
      <c r="I8" s="2">
        <f>'Feb 2013'!I8+C8</f>
        <v>19037.29</v>
      </c>
      <c r="K8" s="2">
        <f>'Feb 2013'!K8+E8</f>
        <v>20250</v>
      </c>
      <c r="M8" s="6">
        <f t="shared" si="0"/>
        <v>-1212.7099999999991</v>
      </c>
      <c r="O8" s="2">
        <v>27000</v>
      </c>
    </row>
    <row r="9" spans="1:15" x14ac:dyDescent="0.25">
      <c r="A9" t="s">
        <v>0</v>
      </c>
      <c r="C9" s="2">
        <v>271.55</v>
      </c>
      <c r="E9" s="2">
        <f>O9/12</f>
        <v>270</v>
      </c>
      <c r="G9" s="6">
        <f t="shared" si="1"/>
        <v>1.5500000000000114</v>
      </c>
      <c r="I9" s="2">
        <f>'Feb 2013'!I9+C9</f>
        <v>2443.9500000000003</v>
      </c>
      <c r="K9" s="2">
        <f>'Feb 2013'!K9+E9</f>
        <v>2430</v>
      </c>
      <c r="M9" s="6">
        <f t="shared" si="0"/>
        <v>13.950000000000273</v>
      </c>
      <c r="O9" s="2">
        <v>3240</v>
      </c>
    </row>
    <row r="10" spans="1:15" x14ac:dyDescent="0.25">
      <c r="G10" s="6"/>
      <c r="K10" s="2"/>
      <c r="O10" s="2"/>
    </row>
    <row r="11" spans="1:15" x14ac:dyDescent="0.25">
      <c r="A11" s="1" t="s">
        <v>1</v>
      </c>
      <c r="C11" s="2">
        <f>SUM(C5:C10)</f>
        <v>2355.75</v>
      </c>
      <c r="E11" s="2">
        <f>SUM(E5:E10)</f>
        <v>4931</v>
      </c>
      <c r="G11" s="2">
        <f>SUM(G5:G10)</f>
        <v>-2575.2499999999995</v>
      </c>
      <c r="I11" s="2">
        <f>SUM(I5:I10)</f>
        <v>72332.070000000007</v>
      </c>
      <c r="K11" s="2">
        <f>SUM(K5:K10)</f>
        <v>72622</v>
      </c>
      <c r="M11" s="2">
        <f>SUM(M5:M10)</f>
        <v>-289.92999999999324</v>
      </c>
      <c r="O11" s="2">
        <f>SUM(O5:O10)</f>
        <v>82165</v>
      </c>
    </row>
    <row r="12" spans="1:15" x14ac:dyDescent="0.25">
      <c r="K12" s="2"/>
      <c r="O12" s="2"/>
    </row>
    <row r="13" spans="1:15" x14ac:dyDescent="0.25">
      <c r="K13" s="2"/>
      <c r="O13" s="2"/>
    </row>
    <row r="14" spans="1:15" x14ac:dyDescent="0.25">
      <c r="A14" s="1" t="s">
        <v>93</v>
      </c>
      <c r="K14" s="2"/>
      <c r="O14" s="2"/>
    </row>
    <row r="15" spans="1:15" x14ac:dyDescent="0.25">
      <c r="A15" t="s">
        <v>2</v>
      </c>
      <c r="K15" s="2"/>
      <c r="O15" s="2"/>
    </row>
    <row r="16" spans="1:15" x14ac:dyDescent="0.25">
      <c r="A16" t="s">
        <v>3</v>
      </c>
      <c r="C16" s="2">
        <v>300</v>
      </c>
      <c r="E16" s="2">
        <f>O16/12</f>
        <v>300</v>
      </c>
      <c r="G16" s="6">
        <f t="shared" ref="G16:G42" si="2">C16-E16</f>
        <v>0</v>
      </c>
      <c r="I16" s="2">
        <f>'Feb 2013'!I16+C16</f>
        <v>2700</v>
      </c>
      <c r="K16" s="2">
        <f>'Feb 2013'!K16+E16</f>
        <v>2700</v>
      </c>
      <c r="M16" s="6">
        <f t="shared" ref="M16:M42" si="3">I16-K16</f>
        <v>0</v>
      </c>
      <c r="O16" s="2">
        <v>3600</v>
      </c>
    </row>
    <row r="17" spans="1:15" x14ac:dyDescent="0.25">
      <c r="A17" t="s">
        <v>30</v>
      </c>
      <c r="C17" s="2">
        <v>1500</v>
      </c>
      <c r="E17" s="2">
        <v>1500</v>
      </c>
      <c r="G17" s="6">
        <f t="shared" si="2"/>
        <v>0</v>
      </c>
      <c r="I17" s="2">
        <f>'Feb 2013'!I17+C17</f>
        <v>4500</v>
      </c>
      <c r="K17" s="2">
        <f>'Feb 2013'!K17+E17</f>
        <v>4500</v>
      </c>
      <c r="M17" s="6">
        <f t="shared" si="3"/>
        <v>0</v>
      </c>
      <c r="O17" s="2">
        <v>6000</v>
      </c>
    </row>
    <row r="18" spans="1:15" x14ac:dyDescent="0.25">
      <c r="A18" t="s">
        <v>29</v>
      </c>
      <c r="C18" s="2">
        <f>150+150+225+225</f>
        <v>750</v>
      </c>
      <c r="E18" s="2">
        <v>900</v>
      </c>
      <c r="G18" s="6">
        <f t="shared" si="2"/>
        <v>-150</v>
      </c>
      <c r="I18" s="2">
        <f>'Feb 2013'!I18+C18</f>
        <v>1650</v>
      </c>
      <c r="K18" s="2">
        <f>'Feb 2013'!K18+E18</f>
        <v>2100</v>
      </c>
      <c r="M18" s="6">
        <f t="shared" si="3"/>
        <v>-450</v>
      </c>
      <c r="O18" s="2">
        <v>3000</v>
      </c>
    </row>
    <row r="19" spans="1:15" x14ac:dyDescent="0.25">
      <c r="A19" t="s">
        <v>4</v>
      </c>
      <c r="C19" s="2">
        <v>0</v>
      </c>
      <c r="E19" s="2">
        <f>O19/4</f>
        <v>1125</v>
      </c>
      <c r="G19" s="6">
        <f t="shared" si="2"/>
        <v>-1125</v>
      </c>
      <c r="I19" s="2">
        <f>'Feb 2013'!I19+C19</f>
        <v>167</v>
      </c>
      <c r="K19" s="2">
        <f>'Feb 2013'!K19+E19</f>
        <v>3375</v>
      </c>
      <c r="M19" s="6">
        <f t="shared" si="3"/>
        <v>-3208</v>
      </c>
      <c r="O19" s="2">
        <v>4500</v>
      </c>
    </row>
    <row r="20" spans="1:15" x14ac:dyDescent="0.25">
      <c r="A20" t="s">
        <v>5</v>
      </c>
      <c r="C20" s="2">
        <v>435.5</v>
      </c>
      <c r="E20" s="2">
        <f>O20/12</f>
        <v>366.66666666666669</v>
      </c>
      <c r="G20" s="6">
        <f t="shared" si="2"/>
        <v>68.833333333333314</v>
      </c>
      <c r="I20" s="2">
        <f>'Feb 2013'!I20+C20</f>
        <v>3468.5899999999997</v>
      </c>
      <c r="K20" s="2">
        <f>'Feb 2013'!K20+E20</f>
        <v>3299.9999999999995</v>
      </c>
      <c r="M20" s="6">
        <f t="shared" si="3"/>
        <v>168.59000000000015</v>
      </c>
      <c r="O20" s="2">
        <v>4400</v>
      </c>
    </row>
    <row r="21" spans="1:15" x14ac:dyDescent="0.25">
      <c r="A21" t="s">
        <v>6</v>
      </c>
      <c r="C21" s="2">
        <v>2767.5</v>
      </c>
      <c r="E21" s="2">
        <f>O21/12</f>
        <v>2767.5</v>
      </c>
      <c r="G21" s="6">
        <f t="shared" si="2"/>
        <v>0</v>
      </c>
      <c r="I21" s="2">
        <f>'Feb 2013'!I21+C21</f>
        <v>24907.5</v>
      </c>
      <c r="K21" s="2">
        <f>'Feb 2013'!K21+E21</f>
        <v>24907.5</v>
      </c>
      <c r="M21" s="6">
        <f t="shared" si="3"/>
        <v>0</v>
      </c>
      <c r="O21" s="2">
        <v>33210</v>
      </c>
    </row>
    <row r="22" spans="1:15" x14ac:dyDescent="0.25">
      <c r="A22" t="s">
        <v>7</v>
      </c>
      <c r="C22" s="2">
        <v>0</v>
      </c>
      <c r="E22" s="2">
        <v>0</v>
      </c>
      <c r="G22" s="6">
        <f t="shared" si="2"/>
        <v>0</v>
      </c>
      <c r="I22" s="2">
        <f>'Feb 2013'!I22+C22</f>
        <v>3649</v>
      </c>
      <c r="K22" s="2">
        <f>'Feb 2013'!K22+E22</f>
        <v>3700</v>
      </c>
      <c r="M22" s="6">
        <f t="shared" si="3"/>
        <v>-51</v>
      </c>
      <c r="O22" s="2">
        <v>3700</v>
      </c>
    </row>
    <row r="23" spans="1:15" x14ac:dyDescent="0.25">
      <c r="A23" t="s">
        <v>8</v>
      </c>
      <c r="C23" s="2">
        <v>0</v>
      </c>
      <c r="E23" s="2">
        <v>0</v>
      </c>
      <c r="G23" s="6">
        <f t="shared" si="2"/>
        <v>0</v>
      </c>
      <c r="I23" s="2">
        <f>'Feb 2013'!I23+C23</f>
        <v>531</v>
      </c>
      <c r="K23" s="2">
        <f>'Feb 2013'!K23+E23</f>
        <v>600</v>
      </c>
      <c r="M23" s="6">
        <f t="shared" si="3"/>
        <v>-69</v>
      </c>
      <c r="O23" s="2">
        <v>600</v>
      </c>
    </row>
    <row r="24" spans="1:15" x14ac:dyDescent="0.25">
      <c r="A24" t="s">
        <v>9</v>
      </c>
      <c r="C24" s="2">
        <v>0</v>
      </c>
      <c r="E24" s="2">
        <v>0</v>
      </c>
      <c r="G24" s="6">
        <f t="shared" si="2"/>
        <v>0</v>
      </c>
      <c r="I24" s="2">
        <f>'Feb 2013'!I24+C24</f>
        <v>307.08</v>
      </c>
      <c r="K24" s="2">
        <f>'Feb 2013'!K24+E24</f>
        <v>335</v>
      </c>
      <c r="M24" s="6">
        <f t="shared" si="3"/>
        <v>-27.920000000000016</v>
      </c>
      <c r="O24" s="2">
        <v>435</v>
      </c>
    </row>
    <row r="25" spans="1:15" x14ac:dyDescent="0.25">
      <c r="A25" t="s">
        <v>31</v>
      </c>
      <c r="C25" s="2">
        <v>0</v>
      </c>
      <c r="E25" s="2">
        <v>0</v>
      </c>
      <c r="G25" s="6">
        <f t="shared" si="2"/>
        <v>0</v>
      </c>
      <c r="I25" s="2">
        <f>'Feb 2013'!I25+C25</f>
        <v>0</v>
      </c>
      <c r="K25" s="2">
        <f>'Feb 2013'!K25+E25</f>
        <v>0</v>
      </c>
      <c r="M25" s="6">
        <f t="shared" si="3"/>
        <v>0</v>
      </c>
      <c r="O25" s="2">
        <v>4000</v>
      </c>
    </row>
    <row r="26" spans="1:15" x14ac:dyDescent="0.25">
      <c r="A26" t="s">
        <v>32</v>
      </c>
      <c r="C26" s="2">
        <v>0</v>
      </c>
      <c r="E26" s="2">
        <f>O26/4</f>
        <v>375</v>
      </c>
      <c r="G26" s="6">
        <f t="shared" si="2"/>
        <v>-375</v>
      </c>
      <c r="I26" s="2">
        <f>'Feb 2013'!I26+C26</f>
        <v>233</v>
      </c>
      <c r="K26" s="2">
        <f>'Feb 2013'!K26+E26</f>
        <v>1125</v>
      </c>
      <c r="M26" s="6">
        <f t="shared" si="3"/>
        <v>-892</v>
      </c>
      <c r="O26" s="2">
        <v>1500</v>
      </c>
    </row>
    <row r="27" spans="1:15" x14ac:dyDescent="0.25">
      <c r="A27" t="s">
        <v>10</v>
      </c>
      <c r="C27" s="2">
        <v>119</v>
      </c>
      <c r="E27" s="2">
        <f>O27/4</f>
        <v>1250</v>
      </c>
      <c r="G27" s="6">
        <f t="shared" si="2"/>
        <v>-1131</v>
      </c>
      <c r="I27" s="2">
        <f>'Feb 2013'!I27+C27</f>
        <v>1626</v>
      </c>
      <c r="K27" s="2">
        <f>'Feb 2013'!K27+E27</f>
        <v>5000</v>
      </c>
      <c r="M27" s="6">
        <f t="shared" si="3"/>
        <v>-3374</v>
      </c>
      <c r="O27" s="2">
        <v>5000</v>
      </c>
    </row>
    <row r="28" spans="1:15" x14ac:dyDescent="0.25">
      <c r="A28" t="s">
        <v>11</v>
      </c>
      <c r="C28" s="2">
        <v>0</v>
      </c>
      <c r="E28" s="2">
        <v>0</v>
      </c>
      <c r="G28" s="6">
        <f t="shared" si="2"/>
        <v>0</v>
      </c>
      <c r="I28" s="2">
        <f>'Feb 2013'!I28+C28</f>
        <v>0</v>
      </c>
      <c r="K28" s="2">
        <f>'Feb 2013'!K28+E28</f>
        <v>0</v>
      </c>
      <c r="M28" s="6">
        <f t="shared" si="3"/>
        <v>0</v>
      </c>
      <c r="O28" s="2">
        <v>2000</v>
      </c>
    </row>
    <row r="29" spans="1:15" x14ac:dyDescent="0.25">
      <c r="A29" t="s">
        <v>33</v>
      </c>
      <c r="C29" s="2">
        <v>0</v>
      </c>
      <c r="E29" s="2">
        <f>O29/4</f>
        <v>37.5</v>
      </c>
      <c r="G29" s="6">
        <f t="shared" si="2"/>
        <v>-37.5</v>
      </c>
      <c r="I29" s="2">
        <f>'Feb 2013'!I29+C29</f>
        <v>75.599999999999994</v>
      </c>
      <c r="K29" s="2">
        <f>'Feb 2013'!K29+E29</f>
        <v>112.5</v>
      </c>
      <c r="M29" s="6">
        <f t="shared" si="3"/>
        <v>-36.900000000000006</v>
      </c>
      <c r="O29" s="2">
        <v>150</v>
      </c>
    </row>
    <row r="30" spans="1:15" x14ac:dyDescent="0.25">
      <c r="A30" t="s">
        <v>34</v>
      </c>
      <c r="C30" s="2">
        <v>0</v>
      </c>
      <c r="E30" s="2">
        <f>O30/4</f>
        <v>300</v>
      </c>
      <c r="G30" s="6">
        <f t="shared" si="2"/>
        <v>-300</v>
      </c>
      <c r="I30" s="2">
        <f>'Feb 2013'!I30+C30</f>
        <v>521.48</v>
      </c>
      <c r="K30" s="2">
        <f>'Feb 2013'!K30+E30</f>
        <v>1200</v>
      </c>
      <c r="M30" s="6">
        <f t="shared" si="3"/>
        <v>-678.52</v>
      </c>
      <c r="O30" s="2">
        <v>1200</v>
      </c>
    </row>
    <row r="31" spans="1:15" x14ac:dyDescent="0.25">
      <c r="A31" t="s">
        <v>12</v>
      </c>
      <c r="C31" s="2">
        <v>0</v>
      </c>
      <c r="E31" s="2">
        <f>O31/4</f>
        <v>500</v>
      </c>
      <c r="G31" s="6">
        <f t="shared" si="2"/>
        <v>-500</v>
      </c>
      <c r="I31" s="2">
        <f>'Feb 2013'!I31+C31</f>
        <v>950</v>
      </c>
      <c r="K31" s="2">
        <f>'Feb 2013'!K31+E31</f>
        <v>1500</v>
      </c>
      <c r="M31" s="6">
        <f t="shared" si="3"/>
        <v>-550</v>
      </c>
      <c r="O31" s="2">
        <v>2000</v>
      </c>
    </row>
    <row r="32" spans="1:15" x14ac:dyDescent="0.25">
      <c r="A32" t="s">
        <v>13</v>
      </c>
      <c r="C32" s="2">
        <v>0</v>
      </c>
      <c r="E32" s="2">
        <f>O32/12</f>
        <v>125</v>
      </c>
      <c r="G32" s="6">
        <f t="shared" si="2"/>
        <v>-125</v>
      </c>
      <c r="I32" s="2">
        <f>'Feb 2013'!I32+C32</f>
        <v>0</v>
      </c>
      <c r="K32" s="2">
        <f>'Feb 2013'!K32+E32</f>
        <v>1125</v>
      </c>
      <c r="M32" s="6">
        <f t="shared" si="3"/>
        <v>-1125</v>
      </c>
      <c r="O32" s="2">
        <v>1500</v>
      </c>
    </row>
    <row r="33" spans="1:16" x14ac:dyDescent="0.25">
      <c r="A33" t="s">
        <v>35</v>
      </c>
      <c r="C33" s="2">
        <v>0</v>
      </c>
      <c r="E33" s="2">
        <v>0</v>
      </c>
      <c r="G33" s="6">
        <f t="shared" si="2"/>
        <v>0</v>
      </c>
      <c r="I33" s="2">
        <f>'Feb 2013'!I33+C33</f>
        <v>1821.11</v>
      </c>
      <c r="K33" s="2">
        <f>'Feb 2013'!K33+E33</f>
        <v>1800</v>
      </c>
      <c r="M33" s="6">
        <f t="shared" si="3"/>
        <v>21.1099999999999</v>
      </c>
      <c r="O33" s="2">
        <v>1800</v>
      </c>
    </row>
    <row r="34" spans="1:16" x14ac:dyDescent="0.25">
      <c r="A34" t="s">
        <v>36</v>
      </c>
      <c r="C34" s="2">
        <v>0</v>
      </c>
      <c r="E34" s="2">
        <v>0</v>
      </c>
      <c r="G34" s="6">
        <f t="shared" si="2"/>
        <v>0</v>
      </c>
      <c r="I34" s="2">
        <f>'Feb 2013'!I34+C34</f>
        <v>900</v>
      </c>
      <c r="K34" s="2">
        <f>'Feb 2013'!K34+E34</f>
        <v>900</v>
      </c>
      <c r="M34" s="6">
        <f t="shared" si="3"/>
        <v>0</v>
      </c>
      <c r="O34" s="2">
        <v>10000</v>
      </c>
    </row>
    <row r="35" spans="1:16" x14ac:dyDescent="0.25">
      <c r="A35" t="s">
        <v>37</v>
      </c>
      <c r="C35" s="2">
        <v>0</v>
      </c>
      <c r="E35" s="2">
        <v>0</v>
      </c>
      <c r="G35" s="6">
        <f t="shared" si="2"/>
        <v>0</v>
      </c>
      <c r="I35" s="2">
        <f>'Feb 2013'!I35+C35</f>
        <v>0</v>
      </c>
      <c r="K35" s="2">
        <f>'Feb 2013'!K35+E35</f>
        <v>0</v>
      </c>
      <c r="M35" s="6">
        <f t="shared" si="3"/>
        <v>0</v>
      </c>
      <c r="O35" s="2">
        <v>750</v>
      </c>
    </row>
    <row r="36" spans="1:16" x14ac:dyDescent="0.25">
      <c r="A36" t="s">
        <v>38</v>
      </c>
      <c r="G36" s="6" t="s">
        <v>25</v>
      </c>
      <c r="I36" s="2" t="s">
        <v>25</v>
      </c>
      <c r="K36" s="2" t="s">
        <v>25</v>
      </c>
      <c r="M36" s="6" t="s">
        <v>25</v>
      </c>
      <c r="O36" s="2"/>
    </row>
    <row r="37" spans="1:16" x14ac:dyDescent="0.25">
      <c r="A37" t="s">
        <v>39</v>
      </c>
      <c r="C37" s="2">
        <v>50</v>
      </c>
      <c r="E37" s="2">
        <f>O37/12</f>
        <v>50</v>
      </c>
      <c r="G37" s="6">
        <f t="shared" si="2"/>
        <v>0</v>
      </c>
      <c r="I37" s="2">
        <f>'Feb 2013'!I37+C37</f>
        <v>450</v>
      </c>
      <c r="K37" s="2">
        <f>'Feb 2013'!K37+E37</f>
        <v>450</v>
      </c>
      <c r="M37" s="6">
        <f t="shared" si="3"/>
        <v>0</v>
      </c>
      <c r="O37" s="2">
        <v>600</v>
      </c>
    </row>
    <row r="38" spans="1:16" x14ac:dyDescent="0.25">
      <c r="A38" t="s">
        <v>40</v>
      </c>
      <c r="C38" s="2">
        <v>0</v>
      </c>
      <c r="E38" s="2">
        <v>0</v>
      </c>
      <c r="G38" s="6">
        <f t="shared" si="2"/>
        <v>0</v>
      </c>
      <c r="I38" s="2">
        <f>'Feb 2013'!I38+C38</f>
        <v>238</v>
      </c>
      <c r="K38" s="2">
        <f>'Feb 2013'!K38+E38</f>
        <v>255</v>
      </c>
      <c r="M38" s="6">
        <f t="shared" si="3"/>
        <v>-17</v>
      </c>
      <c r="O38" s="2">
        <v>425</v>
      </c>
      <c r="P38" t="s">
        <v>67</v>
      </c>
    </row>
    <row r="39" spans="1:16" x14ac:dyDescent="0.25">
      <c r="A39" t="s">
        <v>41</v>
      </c>
      <c r="C39" s="2">
        <v>0</v>
      </c>
      <c r="E39" s="2">
        <v>0</v>
      </c>
      <c r="G39" s="6">
        <f t="shared" si="2"/>
        <v>0</v>
      </c>
      <c r="I39" s="2">
        <f>'Feb 2013'!I39+C39</f>
        <v>101.8</v>
      </c>
      <c r="K39" s="2">
        <f>'Feb 2013'!K39+E39</f>
        <v>102</v>
      </c>
      <c r="M39" s="6">
        <f t="shared" si="3"/>
        <v>-0.20000000000000284</v>
      </c>
      <c r="O39" s="2">
        <v>102</v>
      </c>
    </row>
    <row r="40" spans="1:16" x14ac:dyDescent="0.25">
      <c r="A40" t="s">
        <v>42</v>
      </c>
      <c r="C40" s="2">
        <v>0</v>
      </c>
      <c r="E40" s="2">
        <f>O40/4</f>
        <v>50</v>
      </c>
      <c r="G40" s="6">
        <f t="shared" si="2"/>
        <v>-50</v>
      </c>
      <c r="I40" s="2">
        <f>'Feb 2013'!I40+C40</f>
        <v>55.68</v>
      </c>
      <c r="K40" s="2">
        <f>'Feb 2013'!K40+E40</f>
        <v>200</v>
      </c>
      <c r="M40" s="6">
        <f t="shared" si="3"/>
        <v>-144.32</v>
      </c>
      <c r="O40" s="2">
        <v>200</v>
      </c>
    </row>
    <row r="41" spans="1:16" x14ac:dyDescent="0.25">
      <c r="A41" t="s">
        <v>43</v>
      </c>
      <c r="C41" s="2">
        <v>0</v>
      </c>
      <c r="E41" s="2">
        <v>0</v>
      </c>
      <c r="G41" s="6">
        <f t="shared" si="2"/>
        <v>0</v>
      </c>
      <c r="I41" s="2">
        <f>'Feb 2013'!I41+C41</f>
        <v>0</v>
      </c>
      <c r="K41" s="2">
        <f>'Feb 2013'!K41+E41</f>
        <v>0</v>
      </c>
      <c r="M41" s="6">
        <f t="shared" si="3"/>
        <v>0</v>
      </c>
      <c r="O41" s="2">
        <v>250</v>
      </c>
    </row>
    <row r="42" spans="1:16" x14ac:dyDescent="0.25">
      <c r="A42" t="s">
        <v>44</v>
      </c>
      <c r="C42" s="2">
        <v>236.97</v>
      </c>
      <c r="E42" s="2">
        <f>O42/12</f>
        <v>41.666666666666664</v>
      </c>
      <c r="G42" s="6">
        <f t="shared" si="2"/>
        <v>195.30333333333334</v>
      </c>
      <c r="I42" s="2">
        <f>'Feb 2013'!I42+C42</f>
        <v>1049.02</v>
      </c>
      <c r="K42" s="2">
        <f>'Feb 2013'!K42+E42</f>
        <v>375</v>
      </c>
      <c r="M42" s="6">
        <f t="shared" si="3"/>
        <v>674.02</v>
      </c>
      <c r="O42" s="2">
        <v>500</v>
      </c>
    </row>
    <row r="43" spans="1:16" x14ac:dyDescent="0.25">
      <c r="G43" s="6"/>
      <c r="K43" s="2"/>
      <c r="O43" s="2"/>
    </row>
    <row r="44" spans="1:16" x14ac:dyDescent="0.25">
      <c r="A44" s="1" t="s">
        <v>94</v>
      </c>
      <c r="C44" s="2">
        <f>SUM(C16:C43)</f>
        <v>6158.97</v>
      </c>
      <c r="E44" s="2">
        <f>SUM(E16:E43)</f>
        <v>9688.3333333333339</v>
      </c>
      <c r="G44" s="2">
        <f>SUM(G16:G43)</f>
        <v>-3529.3633333333337</v>
      </c>
      <c r="I44" s="2">
        <f>SUM(I16:I43)</f>
        <v>49901.86</v>
      </c>
      <c r="K44" s="2">
        <f>SUM(K16:K43)</f>
        <v>59662</v>
      </c>
      <c r="M44" s="2">
        <f>SUM(M16:M43)</f>
        <v>-9760.14</v>
      </c>
      <c r="O44" s="2">
        <f>SUM(O16:O43)</f>
        <v>91422</v>
      </c>
    </row>
    <row r="45" spans="1:16" x14ac:dyDescent="0.25">
      <c r="G45" s="6"/>
    </row>
    <row r="46" spans="1:16" x14ac:dyDescent="0.25">
      <c r="G46" s="6"/>
    </row>
    <row r="47" spans="1:16" x14ac:dyDescent="0.25">
      <c r="A47" s="1" t="s">
        <v>21</v>
      </c>
      <c r="G47" s="6"/>
    </row>
    <row r="48" spans="1:16" x14ac:dyDescent="0.25">
      <c r="A48" s="1"/>
      <c r="G48" s="6"/>
    </row>
    <row r="49" spans="1:15" x14ac:dyDescent="0.25">
      <c r="A49" s="1" t="s">
        <v>96</v>
      </c>
      <c r="C49" s="2">
        <f>C11</f>
        <v>2355.75</v>
      </c>
      <c r="E49" s="2">
        <f>E11</f>
        <v>4931</v>
      </c>
      <c r="G49" s="2">
        <f>G11</f>
        <v>-2575.2499999999995</v>
      </c>
      <c r="I49" s="2">
        <f>I11</f>
        <v>72332.070000000007</v>
      </c>
      <c r="K49" s="2">
        <f>K11</f>
        <v>72622</v>
      </c>
      <c r="M49" s="2">
        <f>M11</f>
        <v>-289.92999999999324</v>
      </c>
      <c r="O49" s="2">
        <f>O11</f>
        <v>82165</v>
      </c>
    </row>
    <row r="50" spans="1:15" x14ac:dyDescent="0.25">
      <c r="A50" s="1" t="s">
        <v>97</v>
      </c>
      <c r="C50" s="2">
        <f>-C44</f>
        <v>-6158.97</v>
      </c>
      <c r="E50" s="2">
        <f>-E44</f>
        <v>-9688.3333333333339</v>
      </c>
      <c r="G50" s="2">
        <f>-G44</f>
        <v>3529.3633333333337</v>
      </c>
      <c r="I50" s="2">
        <f>-I44</f>
        <v>-49901.86</v>
      </c>
      <c r="K50" s="2">
        <f>-K44</f>
        <v>-59662</v>
      </c>
      <c r="M50" s="2">
        <f>-M44</f>
        <v>9760.14</v>
      </c>
      <c r="O50" s="2">
        <f>-O44</f>
        <v>-91422</v>
      </c>
    </row>
    <row r="51" spans="1:15" x14ac:dyDescent="0.25">
      <c r="G51" s="6"/>
      <c r="K51" s="2"/>
      <c r="M51" s="2"/>
      <c r="O51" s="2"/>
    </row>
    <row r="52" spans="1:15" x14ac:dyDescent="0.25">
      <c r="A52" s="1" t="s">
        <v>22</v>
      </c>
      <c r="C52" s="2">
        <f>SUM(C49:C50)</f>
        <v>-3803.2200000000003</v>
      </c>
      <c r="E52" s="2">
        <f>SUM(E49:E50)</f>
        <v>-4757.3333333333339</v>
      </c>
      <c r="G52" s="2">
        <f>SUM(G49:G50)</f>
        <v>954.11333333333414</v>
      </c>
      <c r="I52" s="2">
        <f>SUM(I49:I50)</f>
        <v>22430.210000000006</v>
      </c>
      <c r="K52" s="2">
        <f>SUM(K49:K50)</f>
        <v>12960</v>
      </c>
      <c r="M52" s="2">
        <f>SUM(M49:M50)</f>
        <v>9470.2100000000064</v>
      </c>
      <c r="O52" s="2">
        <f>SUM(O49:O50)</f>
        <v>-9257</v>
      </c>
    </row>
    <row r="53" spans="1:15" x14ac:dyDescent="0.25">
      <c r="G53" s="6"/>
    </row>
    <row r="54" spans="1:15" x14ac:dyDescent="0.25">
      <c r="G54" s="6"/>
    </row>
    <row r="55" spans="1:15" x14ac:dyDescent="0.25">
      <c r="G55" s="6"/>
    </row>
    <row r="56" spans="1:15" x14ac:dyDescent="0.25">
      <c r="G56" s="6"/>
    </row>
    <row r="57" spans="1:15" x14ac:dyDescent="0.25">
      <c r="G57" s="6"/>
    </row>
    <row r="58" spans="1:15" x14ac:dyDescent="0.25">
      <c r="G58" s="6"/>
    </row>
  </sheetData>
  <pageMargins left="0" right="0" top="0" bottom="0" header="0.3" footer="0.3"/>
  <pageSetup scale="72" orientation="landscape" horizontalDpi="48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2012</vt:lpstr>
      <vt:lpstr>Aug 2012</vt:lpstr>
      <vt:lpstr>Sept 2012</vt:lpstr>
      <vt:lpstr>Oct 2012</vt:lpstr>
      <vt:lpstr>Nov 2012</vt:lpstr>
      <vt:lpstr>Dec 2012</vt:lpstr>
      <vt:lpstr>Jan 2013</vt:lpstr>
      <vt:lpstr>Feb 2013</vt:lpstr>
      <vt:lpstr>March 2013</vt:lpstr>
      <vt:lpstr>April 2013</vt:lpstr>
      <vt:lpstr>May 2013</vt:lpstr>
      <vt:lpstr>June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</dc:creator>
  <cp:lastModifiedBy>SallyDuane</cp:lastModifiedBy>
  <cp:lastPrinted>2013-07-23T16:30:27Z</cp:lastPrinted>
  <dcterms:created xsi:type="dcterms:W3CDTF">2012-01-12T15:56:51Z</dcterms:created>
  <dcterms:modified xsi:type="dcterms:W3CDTF">2013-07-23T16:41:51Z</dcterms:modified>
</cp:coreProperties>
</file>