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6"/>
  </bookViews>
  <sheets>
    <sheet name="Jul-Dec 2011" sheetId="1" r:id="rId1"/>
    <sheet name="Jan 2012" sheetId="2" r:id="rId2"/>
    <sheet name="Feb 2012" sheetId="3" r:id="rId3"/>
    <sheet name="March 2012" sheetId="5" r:id="rId4"/>
    <sheet name="April 2012" sheetId="6" r:id="rId5"/>
    <sheet name="May 2012" sheetId="7" r:id="rId6"/>
    <sheet name="June 2012" sheetId="8" r:id="rId7"/>
    <sheet name="Sheet1" sheetId="4" r:id="rId8"/>
  </sheets>
  <calcPr calcId="145621"/>
</workbook>
</file>

<file path=xl/calcChain.xml><?xml version="1.0" encoding="utf-8"?>
<calcChain xmlns="http://schemas.openxmlformats.org/spreadsheetml/2006/main">
  <c r="C7" i="8" l="1"/>
  <c r="C29" i="8" l="1"/>
  <c r="C18" i="8"/>
  <c r="I18" i="8" s="1"/>
  <c r="C19" i="8"/>
  <c r="I19" i="8" s="1"/>
  <c r="M19" i="8" s="1"/>
  <c r="K29" i="8"/>
  <c r="K28" i="8"/>
  <c r="K21" i="8"/>
  <c r="K18" i="8"/>
  <c r="K20" i="8"/>
  <c r="K17" i="8"/>
  <c r="I32" i="8"/>
  <c r="I31" i="8"/>
  <c r="I30" i="8"/>
  <c r="M30" i="8" s="1"/>
  <c r="I28" i="8"/>
  <c r="I27" i="8"/>
  <c r="I26" i="8"/>
  <c r="M26" i="8" s="1"/>
  <c r="I25" i="8"/>
  <c r="I24" i="8"/>
  <c r="M24" i="8" s="1"/>
  <c r="I23" i="8"/>
  <c r="I22" i="8"/>
  <c r="I21" i="8"/>
  <c r="I17" i="8"/>
  <c r="K9" i="8"/>
  <c r="K8" i="8"/>
  <c r="K7" i="8"/>
  <c r="K6" i="8"/>
  <c r="I10" i="8"/>
  <c r="I9" i="8"/>
  <c r="I8" i="8"/>
  <c r="I7" i="8"/>
  <c r="I6" i="8"/>
  <c r="I5" i="8"/>
  <c r="M5" i="8" s="1"/>
  <c r="O34" i="8"/>
  <c r="M32" i="8"/>
  <c r="G32" i="8"/>
  <c r="M31" i="8"/>
  <c r="G31" i="8"/>
  <c r="E31" i="8"/>
  <c r="G30" i="8"/>
  <c r="E30" i="8"/>
  <c r="E29" i="8"/>
  <c r="G29" i="8"/>
  <c r="E28" i="8"/>
  <c r="M27" i="8"/>
  <c r="G27" i="8"/>
  <c r="G26" i="8"/>
  <c r="M25" i="8"/>
  <c r="G25" i="8"/>
  <c r="E25" i="8"/>
  <c r="G24" i="8"/>
  <c r="M23" i="8"/>
  <c r="G23" i="8"/>
  <c r="M22" i="8"/>
  <c r="G22" i="8"/>
  <c r="M21" i="8"/>
  <c r="G21" i="8"/>
  <c r="E21" i="8"/>
  <c r="E20" i="8"/>
  <c r="E17" i="8"/>
  <c r="E34" i="8" s="1"/>
  <c r="E40" i="8" s="1"/>
  <c r="O12" i="8"/>
  <c r="M10" i="8"/>
  <c r="G10" i="8"/>
  <c r="M9" i="8"/>
  <c r="G9" i="8"/>
  <c r="E9" i="8"/>
  <c r="E8" i="8"/>
  <c r="G8" i="8"/>
  <c r="E7" i="8"/>
  <c r="C12" i="8"/>
  <c r="C39" i="8" s="1"/>
  <c r="E6" i="8"/>
  <c r="K5" i="8"/>
  <c r="G5" i="8"/>
  <c r="M7" i="8" l="1"/>
  <c r="G18" i="8"/>
  <c r="C34" i="8"/>
  <c r="C40" i="8" s="1"/>
  <c r="I29" i="8"/>
  <c r="M29" i="8" s="1"/>
  <c r="G19" i="8"/>
  <c r="M18" i="8"/>
  <c r="C42" i="8"/>
  <c r="I12" i="8"/>
  <c r="M12" i="8" s="1"/>
  <c r="M39" i="8" s="1"/>
  <c r="K12" i="8"/>
  <c r="K39" i="8" s="1"/>
  <c r="M8" i="8"/>
  <c r="M28" i="8"/>
  <c r="M6" i="8"/>
  <c r="E12" i="8"/>
  <c r="E39" i="8" s="1"/>
  <c r="E42" i="8" s="1"/>
  <c r="G6" i="8"/>
  <c r="G7" i="8"/>
  <c r="G12" i="8" s="1"/>
  <c r="G39" i="8" s="1"/>
  <c r="G17" i="8"/>
  <c r="K34" i="8"/>
  <c r="K40" i="8" s="1"/>
  <c r="G20" i="8"/>
  <c r="G28" i="8"/>
  <c r="K29" i="7"/>
  <c r="K28" i="7"/>
  <c r="K21" i="7"/>
  <c r="K20" i="7"/>
  <c r="K17" i="7"/>
  <c r="I32" i="7"/>
  <c r="I31" i="7"/>
  <c r="I30" i="7"/>
  <c r="I29" i="7"/>
  <c r="I28" i="7"/>
  <c r="M28" i="7" s="1"/>
  <c r="I27" i="7"/>
  <c r="I26" i="7"/>
  <c r="I25" i="7"/>
  <c r="I24" i="7"/>
  <c r="I23" i="7"/>
  <c r="I22" i="7"/>
  <c r="I21" i="7"/>
  <c r="I20" i="7"/>
  <c r="I20" i="8" s="1"/>
  <c r="M20" i="8" s="1"/>
  <c r="I19" i="7"/>
  <c r="I18" i="7"/>
  <c r="M18" i="7" s="1"/>
  <c r="I17" i="7"/>
  <c r="K9" i="7"/>
  <c r="K8" i="7"/>
  <c r="K7" i="7"/>
  <c r="K6" i="7"/>
  <c r="I10" i="7"/>
  <c r="I9" i="7"/>
  <c r="I8" i="7"/>
  <c r="I7" i="7"/>
  <c r="I6" i="7"/>
  <c r="I5" i="7"/>
  <c r="C29" i="7"/>
  <c r="C8" i="7"/>
  <c r="C7" i="7"/>
  <c r="O34" i="7"/>
  <c r="M32" i="7"/>
  <c r="G32" i="7"/>
  <c r="M31" i="7"/>
  <c r="E31" i="7"/>
  <c r="G31" i="7" s="1"/>
  <c r="M30" i="7"/>
  <c r="E30" i="7"/>
  <c r="G30" i="7" s="1"/>
  <c r="E29" i="7"/>
  <c r="E28" i="7"/>
  <c r="M27" i="7"/>
  <c r="G27" i="7"/>
  <c r="K26" i="7"/>
  <c r="M26" i="7"/>
  <c r="G26" i="7"/>
  <c r="M25" i="7"/>
  <c r="G25" i="7"/>
  <c r="E25" i="7"/>
  <c r="M24" i="7"/>
  <c r="G24" i="7"/>
  <c r="M23" i="7"/>
  <c r="G23" i="7"/>
  <c r="M22" i="7"/>
  <c r="G22" i="7"/>
  <c r="M21" i="7"/>
  <c r="G21" i="7"/>
  <c r="E21" i="7"/>
  <c r="E20" i="7"/>
  <c r="M19" i="7"/>
  <c r="G19" i="7"/>
  <c r="K18" i="7"/>
  <c r="G18" i="7"/>
  <c r="E17" i="7"/>
  <c r="O12" i="7"/>
  <c r="M10" i="7"/>
  <c r="G10" i="7"/>
  <c r="M9" i="7"/>
  <c r="G9" i="7"/>
  <c r="E9" i="7"/>
  <c r="M8" i="7"/>
  <c r="E8" i="7"/>
  <c r="G8" i="7"/>
  <c r="E7" i="7"/>
  <c r="G7" i="7"/>
  <c r="E6" i="7"/>
  <c r="K5" i="7"/>
  <c r="G5" i="7"/>
  <c r="I34" i="8" l="1"/>
  <c r="I40" i="8" s="1"/>
  <c r="I39" i="8"/>
  <c r="G34" i="8"/>
  <c r="G40" i="8" s="1"/>
  <c r="G42" i="8" s="1"/>
  <c r="M17" i="8"/>
  <c r="M34" i="8" s="1"/>
  <c r="M40" i="8" s="1"/>
  <c r="M42" i="8" s="1"/>
  <c r="K42" i="8"/>
  <c r="M29" i="7"/>
  <c r="K12" i="7"/>
  <c r="K39" i="7" s="1"/>
  <c r="M6" i="7"/>
  <c r="C34" i="7"/>
  <c r="C40" i="7" s="1"/>
  <c r="I34" i="7"/>
  <c r="I40" i="7" s="1"/>
  <c r="C12" i="7"/>
  <c r="C39" i="7" s="1"/>
  <c r="M7" i="7"/>
  <c r="K34" i="7"/>
  <c r="K40" i="7" s="1"/>
  <c r="M20" i="7"/>
  <c r="E12" i="7"/>
  <c r="E39" i="7" s="1"/>
  <c r="M17" i="7"/>
  <c r="M34" i="7" s="1"/>
  <c r="M40" i="7" s="1"/>
  <c r="G29" i="7"/>
  <c r="E34" i="7"/>
  <c r="E40" i="7" s="1"/>
  <c r="G6" i="7"/>
  <c r="G12" i="7" s="1"/>
  <c r="G39" i="7" s="1"/>
  <c r="G17" i="7"/>
  <c r="G20" i="7"/>
  <c r="G28" i="7"/>
  <c r="K29" i="6"/>
  <c r="K28" i="6"/>
  <c r="M28" i="6" s="1"/>
  <c r="K21" i="6"/>
  <c r="K20" i="6"/>
  <c r="K17" i="6"/>
  <c r="I32" i="6"/>
  <c r="I31" i="6"/>
  <c r="I30" i="6"/>
  <c r="M30" i="6" s="1"/>
  <c r="I29" i="6"/>
  <c r="I28" i="6"/>
  <c r="I27" i="6"/>
  <c r="I26" i="6"/>
  <c r="M26" i="6" s="1"/>
  <c r="I25" i="6"/>
  <c r="I24" i="6"/>
  <c r="I23" i="6"/>
  <c r="I22" i="6"/>
  <c r="I21" i="6"/>
  <c r="I20" i="6"/>
  <c r="M20" i="6" s="1"/>
  <c r="I19" i="6"/>
  <c r="I18" i="6"/>
  <c r="I17" i="6"/>
  <c r="C8" i="6"/>
  <c r="G8" i="6" s="1"/>
  <c r="C7" i="6"/>
  <c r="K9" i="6"/>
  <c r="M9" i="6" s="1"/>
  <c r="K8" i="6"/>
  <c r="K7" i="6"/>
  <c r="K6" i="6"/>
  <c r="I10" i="6"/>
  <c r="I9" i="6"/>
  <c r="I8" i="6"/>
  <c r="I7" i="6"/>
  <c r="M7" i="6" s="1"/>
  <c r="I6" i="6"/>
  <c r="I5" i="6"/>
  <c r="C5" i="6"/>
  <c r="O34" i="6"/>
  <c r="M32" i="6"/>
  <c r="G32" i="6"/>
  <c r="M31" i="6"/>
  <c r="G31" i="6"/>
  <c r="E31" i="6"/>
  <c r="G30" i="6"/>
  <c r="E30" i="6"/>
  <c r="E29" i="6"/>
  <c r="G29" i="6"/>
  <c r="E28" i="6"/>
  <c r="M27" i="6"/>
  <c r="G27" i="6"/>
  <c r="K26" i="6"/>
  <c r="G26" i="6"/>
  <c r="E25" i="6"/>
  <c r="G25" i="6"/>
  <c r="M24" i="6"/>
  <c r="G24" i="6"/>
  <c r="M23" i="6"/>
  <c r="G23" i="6"/>
  <c r="M22" i="6"/>
  <c r="G22" i="6"/>
  <c r="E21" i="6"/>
  <c r="G20" i="6"/>
  <c r="E20" i="6"/>
  <c r="M19" i="6"/>
  <c r="G19" i="6"/>
  <c r="K18" i="6"/>
  <c r="C34" i="6"/>
  <c r="C40" i="6" s="1"/>
  <c r="G17" i="6"/>
  <c r="E17" i="6"/>
  <c r="E34" i="6" s="1"/>
  <c r="E40" i="6" s="1"/>
  <c r="O12" i="6"/>
  <c r="M10" i="6"/>
  <c r="G10" i="6"/>
  <c r="E9" i="6"/>
  <c r="M8" i="6"/>
  <c r="E8" i="6"/>
  <c r="E7" i="6"/>
  <c r="G7" i="6"/>
  <c r="E6" i="6"/>
  <c r="K5" i="6"/>
  <c r="E12" i="6"/>
  <c r="E39" i="6" s="1"/>
  <c r="E42" i="6" s="1"/>
  <c r="C12" i="6"/>
  <c r="C39" i="6" s="1"/>
  <c r="I42" i="8" l="1"/>
  <c r="K42" i="7"/>
  <c r="C42" i="7"/>
  <c r="G34" i="7"/>
  <c r="G40" i="7" s="1"/>
  <c r="G42" i="7" s="1"/>
  <c r="M5" i="7"/>
  <c r="I12" i="7"/>
  <c r="E42" i="7"/>
  <c r="C42" i="6"/>
  <c r="K12" i="6"/>
  <c r="K39" i="6" s="1"/>
  <c r="M6" i="6"/>
  <c r="K34" i="6"/>
  <c r="K40" i="6" s="1"/>
  <c r="M21" i="6"/>
  <c r="M29" i="6"/>
  <c r="G5" i="6"/>
  <c r="G6" i="6"/>
  <c r="G9" i="6"/>
  <c r="M17" i="6"/>
  <c r="M18" i="6"/>
  <c r="G21" i="6"/>
  <c r="M25" i="6"/>
  <c r="G28" i="6"/>
  <c r="G18" i="6"/>
  <c r="G34" i="6" s="1"/>
  <c r="G40" i="6" s="1"/>
  <c r="K29" i="5"/>
  <c r="K28" i="5"/>
  <c r="K21" i="5"/>
  <c r="M21" i="5" s="1"/>
  <c r="K20" i="5"/>
  <c r="K17" i="5"/>
  <c r="K18" i="5"/>
  <c r="I32" i="5"/>
  <c r="M32" i="5" s="1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M18" i="5" s="1"/>
  <c r="I17" i="5"/>
  <c r="E18" i="5"/>
  <c r="C26" i="5"/>
  <c r="C29" i="5"/>
  <c r="C25" i="5"/>
  <c r="C18" i="5"/>
  <c r="G18" i="5" s="1"/>
  <c r="C7" i="5"/>
  <c r="K9" i="5"/>
  <c r="K8" i="5"/>
  <c r="K7" i="5"/>
  <c r="K6" i="5"/>
  <c r="I10" i="5"/>
  <c r="M10" i="5" s="1"/>
  <c r="I9" i="5"/>
  <c r="I8" i="5"/>
  <c r="I7" i="5"/>
  <c r="I6" i="5"/>
  <c r="K5" i="5"/>
  <c r="I5" i="5"/>
  <c r="C5" i="5"/>
  <c r="O34" i="5"/>
  <c r="G32" i="5"/>
  <c r="M31" i="5"/>
  <c r="G31" i="5"/>
  <c r="E31" i="5"/>
  <c r="M30" i="5"/>
  <c r="G30" i="5"/>
  <c r="E30" i="5"/>
  <c r="E29" i="5"/>
  <c r="E28" i="5"/>
  <c r="M27" i="5"/>
  <c r="G27" i="5"/>
  <c r="K26" i="5"/>
  <c r="M26" i="5"/>
  <c r="E26" i="5"/>
  <c r="M25" i="5"/>
  <c r="E25" i="5"/>
  <c r="M24" i="5"/>
  <c r="G24" i="5"/>
  <c r="M23" i="5"/>
  <c r="G23" i="5"/>
  <c r="M22" i="5"/>
  <c r="G22" i="5"/>
  <c r="E21" i="5"/>
  <c r="G20" i="5"/>
  <c r="E20" i="5"/>
  <c r="M19" i="5"/>
  <c r="G19" i="5"/>
  <c r="G17" i="5"/>
  <c r="E17" i="5"/>
  <c r="E34" i="5" s="1"/>
  <c r="E40" i="5" s="1"/>
  <c r="O12" i="5"/>
  <c r="G10" i="5"/>
  <c r="E9" i="5"/>
  <c r="E8" i="5"/>
  <c r="G8" i="5"/>
  <c r="E7" i="5"/>
  <c r="G6" i="5"/>
  <c r="E6" i="5"/>
  <c r="E5" i="5"/>
  <c r="E12" i="5" s="1"/>
  <c r="E39" i="5" s="1"/>
  <c r="C12" i="5"/>
  <c r="C39" i="5" s="1"/>
  <c r="I39" i="7" l="1"/>
  <c r="I42" i="7" s="1"/>
  <c r="M12" i="7"/>
  <c r="M39" i="7" s="1"/>
  <c r="M42" i="7" s="1"/>
  <c r="I12" i="6"/>
  <c r="M5" i="6"/>
  <c r="M34" i="6"/>
  <c r="M40" i="6" s="1"/>
  <c r="G12" i="6"/>
  <c r="G39" i="6" s="1"/>
  <c r="G42" i="6" s="1"/>
  <c r="K42" i="6"/>
  <c r="I34" i="6"/>
  <c r="I40" i="6" s="1"/>
  <c r="M20" i="5"/>
  <c r="K34" i="5"/>
  <c r="K40" i="5" s="1"/>
  <c r="E42" i="5"/>
  <c r="G26" i="5"/>
  <c r="G25" i="5"/>
  <c r="I34" i="5"/>
  <c r="I40" i="5" s="1"/>
  <c r="C34" i="5"/>
  <c r="C40" i="5" s="1"/>
  <c r="C42" i="5" s="1"/>
  <c r="M7" i="5"/>
  <c r="M6" i="5"/>
  <c r="I12" i="5"/>
  <c r="K12" i="5"/>
  <c r="K39" i="5" s="1"/>
  <c r="M9" i="5"/>
  <c r="M29" i="5"/>
  <c r="M28" i="5"/>
  <c r="M5" i="5"/>
  <c r="G7" i="5"/>
  <c r="G5" i="5"/>
  <c r="M8" i="5"/>
  <c r="G9" i="5"/>
  <c r="M17" i="5"/>
  <c r="G21" i="5"/>
  <c r="G28" i="5"/>
  <c r="G29" i="5"/>
  <c r="E30" i="3"/>
  <c r="E31" i="3"/>
  <c r="I39" i="6" l="1"/>
  <c r="I42" i="6" s="1"/>
  <c r="M12" i="6"/>
  <c r="M39" i="6" s="1"/>
  <c r="M42" i="6" s="1"/>
  <c r="K42" i="5"/>
  <c r="G34" i="5"/>
  <c r="G40" i="5" s="1"/>
  <c r="M34" i="5"/>
  <c r="M40" i="5" s="1"/>
  <c r="G12" i="5"/>
  <c r="G39" i="5" s="1"/>
  <c r="I39" i="5"/>
  <c r="I42" i="5" s="1"/>
  <c r="M12" i="5"/>
  <c r="M39" i="5" s="1"/>
  <c r="O34" i="3"/>
  <c r="C29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O12" i="3"/>
  <c r="C8" i="3"/>
  <c r="I9" i="3"/>
  <c r="I7" i="3"/>
  <c r="I6" i="3"/>
  <c r="I5" i="3"/>
  <c r="C7" i="3"/>
  <c r="K9" i="3"/>
  <c r="K8" i="3"/>
  <c r="K7" i="3"/>
  <c r="K6" i="3"/>
  <c r="K5" i="3"/>
  <c r="C5" i="3"/>
  <c r="M42" i="5" l="1"/>
  <c r="G42" i="5"/>
  <c r="M32" i="3"/>
  <c r="G32" i="3"/>
  <c r="M31" i="3"/>
  <c r="G31" i="3"/>
  <c r="M30" i="3"/>
  <c r="G30" i="3"/>
  <c r="M29" i="3"/>
  <c r="E29" i="3"/>
  <c r="K29" i="3" s="1"/>
  <c r="C34" i="3"/>
  <c r="C40" i="3" s="1"/>
  <c r="E28" i="3"/>
  <c r="K28" i="3" s="1"/>
  <c r="M27" i="3"/>
  <c r="G27" i="3"/>
  <c r="K26" i="3"/>
  <c r="M26" i="3"/>
  <c r="E26" i="3"/>
  <c r="G26" i="3" s="1"/>
  <c r="M25" i="3"/>
  <c r="E25" i="3"/>
  <c r="G25" i="3" s="1"/>
  <c r="M24" i="3"/>
  <c r="G24" i="3"/>
  <c r="M23" i="3"/>
  <c r="G23" i="3"/>
  <c r="M22" i="3"/>
  <c r="G22" i="3"/>
  <c r="E21" i="3"/>
  <c r="K21" i="3" s="1"/>
  <c r="K20" i="3"/>
  <c r="M20" i="3"/>
  <c r="G20" i="3"/>
  <c r="E20" i="3"/>
  <c r="M19" i="3"/>
  <c r="G19" i="3"/>
  <c r="K18" i="3"/>
  <c r="M18" i="3"/>
  <c r="G18" i="3"/>
  <c r="K17" i="3"/>
  <c r="I34" i="3"/>
  <c r="I40" i="3" s="1"/>
  <c r="G17" i="3"/>
  <c r="E17" i="3"/>
  <c r="E34" i="3" s="1"/>
  <c r="E40" i="3" s="1"/>
  <c r="M10" i="3"/>
  <c r="I10" i="3"/>
  <c r="G10" i="3"/>
  <c r="M9" i="3"/>
  <c r="G9" i="3"/>
  <c r="E9" i="3"/>
  <c r="E8" i="3"/>
  <c r="G8" i="3"/>
  <c r="E7" i="3"/>
  <c r="G7" i="3"/>
  <c r="E6" i="3"/>
  <c r="E12" i="3" s="1"/>
  <c r="E39" i="3" s="1"/>
  <c r="E5" i="3"/>
  <c r="C12" i="3"/>
  <c r="C39" i="3" s="1"/>
  <c r="C42" i="3" l="1"/>
  <c r="K12" i="3"/>
  <c r="K39" i="3" s="1"/>
  <c r="K42" i="3" s="1"/>
  <c r="E42" i="3"/>
  <c r="M7" i="3"/>
  <c r="K34" i="3"/>
  <c r="K40" i="3" s="1"/>
  <c r="M21" i="3"/>
  <c r="M28" i="3"/>
  <c r="G5" i="3"/>
  <c r="G6" i="3"/>
  <c r="M6" i="3"/>
  <c r="M17" i="3"/>
  <c r="G21" i="3"/>
  <c r="G28" i="3"/>
  <c r="G34" i="3" s="1"/>
  <c r="G40" i="3" s="1"/>
  <c r="G29" i="3"/>
  <c r="C29" i="2"/>
  <c r="M34" i="3" l="1"/>
  <c r="M40" i="3" s="1"/>
  <c r="G12" i="3"/>
  <c r="G39" i="3" s="1"/>
  <c r="G42" i="3" s="1"/>
  <c r="M5" i="3"/>
  <c r="K29" i="2"/>
  <c r="E29" i="2"/>
  <c r="K28" i="2"/>
  <c r="E28" i="2"/>
  <c r="K26" i="2"/>
  <c r="K20" i="2"/>
  <c r="K18" i="2"/>
  <c r="K17" i="2"/>
  <c r="E17" i="2"/>
  <c r="K7" i="2"/>
  <c r="M7" i="2" s="1"/>
  <c r="K6" i="2"/>
  <c r="K9" i="2"/>
  <c r="M9" i="2" s="1"/>
  <c r="K8" i="2"/>
  <c r="E25" i="2"/>
  <c r="K21" i="2"/>
  <c r="M21" i="2" s="1"/>
  <c r="E21" i="2"/>
  <c r="E20" i="2"/>
  <c r="M31" i="2"/>
  <c r="M25" i="2"/>
  <c r="M24" i="2"/>
  <c r="M23" i="2"/>
  <c r="M22" i="2"/>
  <c r="M20" i="2"/>
  <c r="M19" i="2"/>
  <c r="M18" i="2"/>
  <c r="K5" i="2"/>
  <c r="M10" i="2"/>
  <c r="M6" i="2"/>
  <c r="M5" i="2"/>
  <c r="E8" i="2"/>
  <c r="I32" i="2"/>
  <c r="M32" i="2" s="1"/>
  <c r="I31" i="2"/>
  <c r="I30" i="2"/>
  <c r="M30" i="2" s="1"/>
  <c r="I29" i="2"/>
  <c r="I28" i="2"/>
  <c r="M28" i="2" s="1"/>
  <c r="I27" i="2"/>
  <c r="M27" i="2" s="1"/>
  <c r="I26" i="2"/>
  <c r="M26" i="2" s="1"/>
  <c r="I25" i="2"/>
  <c r="I24" i="2"/>
  <c r="I23" i="2"/>
  <c r="I22" i="2"/>
  <c r="I21" i="2"/>
  <c r="I20" i="2"/>
  <c r="I19" i="2"/>
  <c r="I18" i="2"/>
  <c r="I17" i="2"/>
  <c r="M17" i="2" s="1"/>
  <c r="I10" i="2"/>
  <c r="I9" i="2"/>
  <c r="I8" i="2"/>
  <c r="I8" i="3" s="1"/>
  <c r="M8" i="3" s="1"/>
  <c r="I7" i="2"/>
  <c r="I6" i="2"/>
  <c r="I5" i="2"/>
  <c r="E9" i="2"/>
  <c r="E7" i="2"/>
  <c r="E6" i="2"/>
  <c r="E5" i="2"/>
  <c r="M8" i="2" l="1"/>
  <c r="I12" i="2"/>
  <c r="I39" i="2" s="1"/>
  <c r="I12" i="3"/>
  <c r="I39" i="3" s="1"/>
  <c r="I42" i="3" s="1"/>
  <c r="I34" i="2"/>
  <c r="I40" i="2" s="1"/>
  <c r="I42" i="2" s="1"/>
  <c r="M29" i="2"/>
  <c r="M34" i="2" s="1"/>
  <c r="M40" i="2" s="1"/>
  <c r="C7" i="2"/>
  <c r="C5" i="2"/>
  <c r="K34" i="2"/>
  <c r="K40" i="2" s="1"/>
  <c r="E32" i="2"/>
  <c r="G32" i="2" s="1"/>
  <c r="E31" i="2"/>
  <c r="G31" i="2" s="1"/>
  <c r="E30" i="2"/>
  <c r="G30" i="2"/>
  <c r="G29" i="2"/>
  <c r="G28" i="2"/>
  <c r="G27" i="2"/>
  <c r="G26" i="2"/>
  <c r="E26" i="2"/>
  <c r="G25" i="2"/>
  <c r="G24" i="2"/>
  <c r="G23" i="2"/>
  <c r="G22" i="2"/>
  <c r="G21" i="2"/>
  <c r="G20" i="2"/>
  <c r="G19" i="2"/>
  <c r="E34" i="2"/>
  <c r="E40" i="2" s="1"/>
  <c r="G18" i="2"/>
  <c r="G17" i="2"/>
  <c r="C34" i="2"/>
  <c r="C40" i="2" s="1"/>
  <c r="K12" i="2"/>
  <c r="G10" i="2"/>
  <c r="G9" i="2"/>
  <c r="G8" i="2"/>
  <c r="C12" i="2"/>
  <c r="C39" i="2" s="1"/>
  <c r="G6" i="2"/>
  <c r="G5" i="2"/>
  <c r="M12" i="3" l="1"/>
  <c r="M39" i="3" s="1"/>
  <c r="M42" i="3" s="1"/>
  <c r="K39" i="2"/>
  <c r="M12" i="2"/>
  <c r="M39" i="2" s="1"/>
  <c r="M42" i="2" s="1"/>
  <c r="K42" i="2"/>
  <c r="G34" i="2"/>
  <c r="G40" i="2" s="1"/>
  <c r="C42" i="2"/>
  <c r="E12" i="2"/>
  <c r="E39" i="2" s="1"/>
  <c r="E42" i="2" s="1"/>
  <c r="G7" i="2"/>
  <c r="G12" i="2" s="1"/>
  <c r="G39" i="2" s="1"/>
  <c r="I42" i="1"/>
  <c r="G42" i="1"/>
  <c r="E42" i="1"/>
  <c r="C42" i="1"/>
  <c r="I40" i="1"/>
  <c r="I39" i="1"/>
  <c r="G40" i="1"/>
  <c r="G39" i="1"/>
  <c r="E40" i="1"/>
  <c r="E39" i="1"/>
  <c r="C40" i="1"/>
  <c r="C39" i="1"/>
  <c r="C22" i="1"/>
  <c r="C29" i="1"/>
  <c r="G42" i="2" l="1"/>
  <c r="C7" i="1"/>
  <c r="G7" i="1" l="1"/>
  <c r="G12" i="1" s="1"/>
  <c r="I34" i="1"/>
  <c r="I12" i="1"/>
  <c r="E6" i="1"/>
  <c r="G6" i="1" s="1"/>
  <c r="C34" i="1"/>
  <c r="E34" i="1"/>
  <c r="E32" i="1"/>
  <c r="E31" i="1"/>
  <c r="E30" i="1"/>
  <c r="E29" i="1"/>
  <c r="E28" i="1"/>
  <c r="E26" i="1"/>
  <c r="G26" i="1" s="1"/>
  <c r="E21" i="1"/>
  <c r="G21" i="1" s="1"/>
  <c r="E20" i="1"/>
  <c r="G20" i="1" s="1"/>
  <c r="E18" i="1"/>
  <c r="G18" i="1" s="1"/>
  <c r="G32" i="1"/>
  <c r="G31" i="1"/>
  <c r="G30" i="1"/>
  <c r="G29" i="1"/>
  <c r="G28" i="1"/>
  <c r="G27" i="1"/>
  <c r="G25" i="1"/>
  <c r="G24" i="1"/>
  <c r="G23" i="1"/>
  <c r="G22" i="1"/>
  <c r="G34" i="1" s="1"/>
  <c r="G19" i="1"/>
  <c r="G17" i="1"/>
  <c r="E12" i="1"/>
  <c r="E9" i="1"/>
  <c r="E8" i="1"/>
  <c r="G10" i="1"/>
  <c r="G9" i="1"/>
  <c r="G8" i="1"/>
  <c r="G5" i="1"/>
  <c r="C30" i="1"/>
  <c r="C25" i="1"/>
  <c r="C21" i="1"/>
  <c r="C20" i="1"/>
  <c r="C18" i="1"/>
  <c r="C17" i="1"/>
  <c r="C12" i="1"/>
  <c r="C9" i="1"/>
  <c r="C8" i="1"/>
</calcChain>
</file>

<file path=xl/sharedStrings.xml><?xml version="1.0" encoding="utf-8"?>
<sst xmlns="http://schemas.openxmlformats.org/spreadsheetml/2006/main" count="324" uniqueCount="97">
  <si>
    <t>Telecom Tax</t>
  </si>
  <si>
    <t>Ormond sale</t>
  </si>
  <si>
    <t>Total revenue</t>
  </si>
  <si>
    <t>Compensation</t>
  </si>
  <si>
    <t xml:space="preserve">   - Clerk</t>
  </si>
  <si>
    <t>Legal/Survey Fees</t>
  </si>
  <si>
    <t>LG&amp;E</t>
  </si>
  <si>
    <t>Rumpke</t>
  </si>
  <si>
    <t>Liability ins</t>
  </si>
  <si>
    <t>Worker's comp</t>
  </si>
  <si>
    <t>Organization dues</t>
  </si>
  <si>
    <t>Road/Sign Repairs</t>
  </si>
  <si>
    <t>Snow/Ice removal</t>
  </si>
  <si>
    <t>Financial Review</t>
  </si>
  <si>
    <t>Legal advertising/postage</t>
  </si>
  <si>
    <t>Misc/block parties</t>
  </si>
  <si>
    <t>Bellewood website</t>
  </si>
  <si>
    <t>Tree planting</t>
  </si>
  <si>
    <t>Assessment</t>
  </si>
  <si>
    <t>Actual</t>
  </si>
  <si>
    <t>Budget</t>
  </si>
  <si>
    <t>Variance</t>
  </si>
  <si>
    <t>Toal expenses - July-Dec 2011</t>
  </si>
  <si>
    <t>Expenses - July-Dec 2011</t>
  </si>
  <si>
    <t>Revenues - July - Dec 2011</t>
  </si>
  <si>
    <t>July 2011-June 2012 Budget</t>
  </si>
  <si>
    <t>Insurance Tax</t>
  </si>
  <si>
    <t>Property  Tax</t>
  </si>
  <si>
    <t>Interest Income</t>
  </si>
  <si>
    <t xml:space="preserve">  - Mayor/Commissioners</t>
  </si>
  <si>
    <t>Road Revenue</t>
  </si>
  <si>
    <t>revenue of approx $550 per mo was suspended - pmt will resume in Jan 2012</t>
  </si>
  <si>
    <t>sale has not taken place</t>
  </si>
  <si>
    <t>road repairs of $4,400 - St. Matthews Ave, St. Matthews Ave at Napanee, Ormond at Ormond Circle</t>
  </si>
  <si>
    <t>includes fee for storage of Bellewood records</t>
  </si>
  <si>
    <t>includes liability premium of $3,639 and surety bond premium of $101.80</t>
  </si>
  <si>
    <t>Total Expenses - July-Dec 2011</t>
  </si>
  <si>
    <t>Total Revenues - July-Dec 2011</t>
  </si>
  <si>
    <t>Summary</t>
  </si>
  <si>
    <t>Overage / (Deficit)</t>
  </si>
  <si>
    <t>no budget amount in the comparison since most taxes have not been received yet</t>
  </si>
  <si>
    <t>Bellewood Budget Comparison July - December 2011</t>
  </si>
  <si>
    <t>Explanations</t>
  </si>
  <si>
    <t>payment for alley survey</t>
  </si>
  <si>
    <t>Revenues - Jan 2012</t>
  </si>
  <si>
    <t>Expenses - Jan 2012</t>
  </si>
  <si>
    <t>Bellewood Budget Comparison Jan 2012</t>
  </si>
  <si>
    <t>Total revenue - Jan 2012</t>
  </si>
  <si>
    <t>Total Revenues - Jan 2012</t>
  </si>
  <si>
    <t>Total Expenses - Jan 2012</t>
  </si>
  <si>
    <t>YTD</t>
  </si>
  <si>
    <t>Jan 2012</t>
  </si>
  <si>
    <t>YTD Budget Comparison</t>
  </si>
  <si>
    <t>Total expenses - Jan 2012</t>
  </si>
  <si>
    <t>Bellewood Budget Comparison Feb 2012</t>
  </si>
  <si>
    <t>Revenues - Feb 2012</t>
  </si>
  <si>
    <t>Feb 2012</t>
  </si>
  <si>
    <t>2011-2012 Budget</t>
  </si>
  <si>
    <t>Total revenue - Feb 2012</t>
  </si>
  <si>
    <t>Expenses - Feb 2012</t>
  </si>
  <si>
    <t>Total expenses - Feb 2012</t>
  </si>
  <si>
    <t>Total Revenues - Feb 2012</t>
  </si>
  <si>
    <t>Total Expenses - Feb 2012</t>
  </si>
  <si>
    <t xml:space="preserve">          Note:  Feb expenses of $3,857 does not include disbursements of $131.96 (check #2177) or $285.96 (check #2178) which were refunds for overpayments for property taxes</t>
  </si>
  <si>
    <t>March 2012</t>
  </si>
  <si>
    <t>Revenues - March 2012</t>
  </si>
  <si>
    <t>Total revenue - March 2012</t>
  </si>
  <si>
    <t>Expenses - March 2012</t>
  </si>
  <si>
    <t>Total expenses - March 2012</t>
  </si>
  <si>
    <t xml:space="preserve"> </t>
  </si>
  <si>
    <t>Total Revenues - March 2012</t>
  </si>
  <si>
    <t>Total Expenses - March 2012</t>
  </si>
  <si>
    <t>Bellewood Budget Comparison March 2012</t>
  </si>
  <si>
    <t>Revenues - April 2012</t>
  </si>
  <si>
    <t>April 2012</t>
  </si>
  <si>
    <t>Bellewood Budget Comparison April 2012</t>
  </si>
  <si>
    <t>Total revenue - April 2012</t>
  </si>
  <si>
    <t>Expenses - April 2012</t>
  </si>
  <si>
    <t>Total expenses - April 2012</t>
  </si>
  <si>
    <t>Total Revenues - April 2012</t>
  </si>
  <si>
    <t>Total Expenses - April2012</t>
  </si>
  <si>
    <t>Bellewood Budget Comparison May 2012</t>
  </si>
  <si>
    <t>May 2012</t>
  </si>
  <si>
    <t>Revenues - May 2012</t>
  </si>
  <si>
    <t>Total revenue - May 2012</t>
  </si>
  <si>
    <t>Expenses - May 2012</t>
  </si>
  <si>
    <t>Total expenses - May 2012</t>
  </si>
  <si>
    <t>Total Revenues - May 2012</t>
  </si>
  <si>
    <t>Total Expenses - May 2012</t>
  </si>
  <si>
    <t>Bellewood Budget Comparison June 2012</t>
  </si>
  <si>
    <t>June 2012</t>
  </si>
  <si>
    <t>Revenues - June 2012</t>
  </si>
  <si>
    <t>Total revenue - June 2012</t>
  </si>
  <si>
    <t>Expenses - June 2012</t>
  </si>
  <si>
    <t>Total expenses - June 2012</t>
  </si>
  <si>
    <t>Total Revenues - June 2012</t>
  </si>
  <si>
    <t>Total Expenses -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</si>
</sst>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1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quotePrefix="1" applyNumberFormat="1" applyFont="1"/>
    <xf numFmtId="4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I26" sqref="I26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</cols>
  <sheetData>
    <row r="1" spans="1:11" x14ac:dyDescent="0.25">
      <c r="E1" s="3" t="s">
        <v>41</v>
      </c>
    </row>
    <row r="3" spans="1:11" x14ac:dyDescent="0.25">
      <c r="C3" s="4" t="s">
        <v>19</v>
      </c>
      <c r="E3" s="4" t="s">
        <v>20</v>
      </c>
      <c r="G3" s="5" t="s">
        <v>21</v>
      </c>
      <c r="I3" s="3" t="s">
        <v>25</v>
      </c>
    </row>
    <row r="4" spans="1:11" x14ac:dyDescent="0.25">
      <c r="A4" s="1" t="s">
        <v>24</v>
      </c>
      <c r="K4" s="7" t="s">
        <v>42</v>
      </c>
    </row>
    <row r="5" spans="1:11" x14ac:dyDescent="0.25">
      <c r="A5" t="s">
        <v>27</v>
      </c>
      <c r="C5" s="2">
        <v>907.92</v>
      </c>
      <c r="E5" s="2">
        <v>0</v>
      </c>
      <c r="G5" s="6">
        <f>C5-E5</f>
        <v>907.92</v>
      </c>
      <c r="I5" s="2">
        <v>46000</v>
      </c>
      <c r="K5" t="s">
        <v>40</v>
      </c>
    </row>
    <row r="6" spans="1:11" x14ac:dyDescent="0.25">
      <c r="A6" t="s">
        <v>30</v>
      </c>
      <c r="C6" s="2">
        <v>0</v>
      </c>
      <c r="E6" s="2">
        <f>6500/2</f>
        <v>3250</v>
      </c>
      <c r="G6" s="6">
        <f t="shared" ref="G6:G10" si="0">C6-E6</f>
        <v>-3250</v>
      </c>
      <c r="I6" s="2">
        <v>6500</v>
      </c>
      <c r="K6" t="s">
        <v>31</v>
      </c>
    </row>
    <row r="7" spans="1:11" x14ac:dyDescent="0.25">
      <c r="A7" t="s">
        <v>28</v>
      </c>
      <c r="C7" s="2">
        <f>20.07+20.77+27.12+21.45+23.19+23.19+1.71+1.72+1.15+1.03+0.99+0.92+226.97+319.87+136.6</f>
        <v>826.75000000000011</v>
      </c>
      <c r="E7" s="2">
        <v>450</v>
      </c>
      <c r="G7" s="6">
        <f t="shared" si="0"/>
        <v>376.75000000000011</v>
      </c>
      <c r="I7" s="2">
        <v>900</v>
      </c>
    </row>
    <row r="8" spans="1:11" x14ac:dyDescent="0.25">
      <c r="A8" t="s">
        <v>26</v>
      </c>
      <c r="C8" s="2">
        <f>137.1+280.9+3151.27+2271.24+339.54+2901.23+6919.51</f>
        <v>16000.79</v>
      </c>
      <c r="E8" s="2">
        <f>23500/2</f>
        <v>11750</v>
      </c>
      <c r="G8" s="6">
        <f t="shared" si="0"/>
        <v>4250.7900000000009</v>
      </c>
      <c r="I8" s="2">
        <v>23500</v>
      </c>
    </row>
    <row r="9" spans="1:11" x14ac:dyDescent="0.25">
      <c r="A9" t="s">
        <v>0</v>
      </c>
      <c r="C9" s="2">
        <f>278.73*6</f>
        <v>1672.38</v>
      </c>
      <c r="E9" s="2">
        <f>3600/2</f>
        <v>1800</v>
      </c>
      <c r="G9" s="6">
        <f t="shared" si="0"/>
        <v>-127.61999999999989</v>
      </c>
      <c r="I9" s="2">
        <v>3600</v>
      </c>
    </row>
    <row r="10" spans="1:11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I10" s="2">
        <v>3000</v>
      </c>
      <c r="K10" t="s">
        <v>32</v>
      </c>
    </row>
    <row r="11" spans="1:11" x14ac:dyDescent="0.25">
      <c r="G11" s="6"/>
    </row>
    <row r="12" spans="1:11" x14ac:dyDescent="0.25">
      <c r="A12" s="1" t="s">
        <v>2</v>
      </c>
      <c r="C12" s="2">
        <f>SUM(C5:C11)</f>
        <v>19407.84</v>
      </c>
      <c r="E12" s="2">
        <f>SUM(E5:E11)</f>
        <v>20250</v>
      </c>
      <c r="G12" s="2">
        <f>SUM(G5:G11)</f>
        <v>-842.15999999999894</v>
      </c>
      <c r="I12" s="2">
        <f>SUM(I5:I11)</f>
        <v>83500</v>
      </c>
    </row>
    <row r="15" spans="1:11" x14ac:dyDescent="0.25">
      <c r="A15" s="1" t="s">
        <v>23</v>
      </c>
    </row>
    <row r="16" spans="1:11" x14ac:dyDescent="0.25">
      <c r="A16" t="s">
        <v>3</v>
      </c>
    </row>
    <row r="17" spans="1:11" x14ac:dyDescent="0.25">
      <c r="A17" t="s">
        <v>4</v>
      </c>
      <c r="C17" s="2">
        <f>900+175+450</f>
        <v>1525</v>
      </c>
      <c r="E17" s="2">
        <v>1800</v>
      </c>
      <c r="G17" s="6">
        <f t="shared" ref="G17:G32" si="1">C17-E17</f>
        <v>-275</v>
      </c>
      <c r="I17" s="2">
        <v>3600</v>
      </c>
    </row>
    <row r="18" spans="1:11" x14ac:dyDescent="0.25">
      <c r="A18" t="s">
        <v>29</v>
      </c>
      <c r="C18" s="2">
        <f>1950+2325</f>
        <v>4275</v>
      </c>
      <c r="E18" s="2">
        <f>9600/2</f>
        <v>4800</v>
      </c>
      <c r="G18" s="6">
        <f t="shared" si="1"/>
        <v>-525</v>
      </c>
      <c r="I18" s="2">
        <v>9600</v>
      </c>
    </row>
    <row r="19" spans="1:11" x14ac:dyDescent="0.25">
      <c r="A19" t="s">
        <v>5</v>
      </c>
      <c r="C19" s="2">
        <v>3500</v>
      </c>
      <c r="E19" s="2">
        <v>4500</v>
      </c>
      <c r="G19" s="6">
        <f t="shared" si="1"/>
        <v>-1000</v>
      </c>
      <c r="I19" s="2">
        <v>4500</v>
      </c>
      <c r="K19" t="s">
        <v>43</v>
      </c>
    </row>
    <row r="20" spans="1:11" x14ac:dyDescent="0.25">
      <c r="A20" t="s">
        <v>6</v>
      </c>
      <c r="C20" s="2">
        <f>370+371+367+366+366+368</f>
        <v>2208</v>
      </c>
      <c r="E20" s="2">
        <f>4200/2</f>
        <v>2100</v>
      </c>
      <c r="G20" s="6">
        <f t="shared" si="1"/>
        <v>108</v>
      </c>
      <c r="I20" s="2">
        <v>4200</v>
      </c>
    </row>
    <row r="21" spans="1:11" x14ac:dyDescent="0.25">
      <c r="A21" t="s">
        <v>7</v>
      </c>
      <c r="C21" s="2">
        <f>2767.5*6</f>
        <v>16605</v>
      </c>
      <c r="E21" s="2">
        <f>33210/2</f>
        <v>16605</v>
      </c>
      <c r="G21" s="6">
        <f t="shared" si="1"/>
        <v>0</v>
      </c>
      <c r="I21" s="2">
        <v>33210</v>
      </c>
    </row>
    <row r="22" spans="1:11" x14ac:dyDescent="0.25">
      <c r="A22" t="s">
        <v>8</v>
      </c>
      <c r="C22" s="2">
        <f>3639+101.8</f>
        <v>3740.8</v>
      </c>
      <c r="E22" s="2">
        <v>3600</v>
      </c>
      <c r="G22" s="6">
        <f t="shared" si="1"/>
        <v>140.80000000000018</v>
      </c>
      <c r="I22" s="2">
        <v>3600</v>
      </c>
      <c r="K22" t="s">
        <v>35</v>
      </c>
    </row>
    <row r="23" spans="1:11" x14ac:dyDescent="0.25">
      <c r="A23" t="s">
        <v>9</v>
      </c>
      <c r="C23" s="2">
        <v>568</v>
      </c>
      <c r="E23" s="2">
        <v>600</v>
      </c>
      <c r="G23" s="6">
        <f t="shared" si="1"/>
        <v>-32</v>
      </c>
      <c r="I23" s="2">
        <v>600</v>
      </c>
    </row>
    <row r="24" spans="1:11" x14ac:dyDescent="0.25">
      <c r="A24" t="s">
        <v>10</v>
      </c>
      <c r="C24" s="2">
        <v>0</v>
      </c>
      <c r="E24" s="2">
        <v>350</v>
      </c>
      <c r="G24" s="6">
        <f t="shared" si="1"/>
        <v>-350</v>
      </c>
      <c r="I24" s="2">
        <v>350</v>
      </c>
    </row>
    <row r="25" spans="1:11" x14ac:dyDescent="0.25">
      <c r="A25" t="s">
        <v>11</v>
      </c>
      <c r="C25" s="2">
        <f>4400+750+83.5</f>
        <v>5233.5</v>
      </c>
      <c r="E25" s="2">
        <v>1500</v>
      </c>
      <c r="G25" s="6">
        <f t="shared" si="1"/>
        <v>3733.5</v>
      </c>
      <c r="I25" s="2">
        <v>1500</v>
      </c>
      <c r="K25" t="s">
        <v>33</v>
      </c>
    </row>
    <row r="26" spans="1:11" x14ac:dyDescent="0.25">
      <c r="A26" t="s">
        <v>12</v>
      </c>
      <c r="C26" s="2">
        <v>110</v>
      </c>
      <c r="E26" s="2">
        <f>7000/4</f>
        <v>1750</v>
      </c>
      <c r="G26" s="6">
        <f t="shared" si="1"/>
        <v>-1640</v>
      </c>
      <c r="I26" s="2">
        <v>7000</v>
      </c>
    </row>
    <row r="27" spans="1:11" x14ac:dyDescent="0.25">
      <c r="A27" t="s">
        <v>13</v>
      </c>
      <c r="C27" s="2">
        <v>0</v>
      </c>
      <c r="E27" s="2">
        <v>2000</v>
      </c>
      <c r="G27" s="6">
        <f t="shared" si="1"/>
        <v>-2000</v>
      </c>
      <c r="I27" s="2">
        <v>2000</v>
      </c>
    </row>
    <row r="28" spans="1:11" x14ac:dyDescent="0.25">
      <c r="A28" t="s">
        <v>14</v>
      </c>
      <c r="C28" s="2">
        <v>70</v>
      </c>
      <c r="E28" s="2">
        <f>600/2</f>
        <v>300</v>
      </c>
      <c r="G28" s="6">
        <f t="shared" si="1"/>
        <v>-230</v>
      </c>
      <c r="I28" s="2">
        <v>600</v>
      </c>
    </row>
    <row r="29" spans="1:11" x14ac:dyDescent="0.25">
      <c r="A29" t="s">
        <v>15</v>
      </c>
      <c r="C29" s="2">
        <f>68+68+68+35+65+145+15+300+150+50</f>
        <v>964</v>
      </c>
      <c r="E29" s="2">
        <f>2500/2</f>
        <v>1250</v>
      </c>
      <c r="G29" s="6">
        <f t="shared" si="1"/>
        <v>-286</v>
      </c>
      <c r="I29" s="2">
        <v>2500</v>
      </c>
      <c r="K29" t="s">
        <v>34</v>
      </c>
    </row>
    <row r="30" spans="1:11" x14ac:dyDescent="0.25">
      <c r="A30" t="s">
        <v>16</v>
      </c>
      <c r="C30" s="2">
        <f>950+200</f>
        <v>1150</v>
      </c>
      <c r="E30" s="2">
        <f>3000/2</f>
        <v>1500</v>
      </c>
      <c r="G30" s="6">
        <f t="shared" si="1"/>
        <v>-350</v>
      </c>
      <c r="I30" s="2">
        <v>3000</v>
      </c>
    </row>
    <row r="31" spans="1:11" x14ac:dyDescent="0.25">
      <c r="A31" t="s">
        <v>17</v>
      </c>
      <c r="C31" s="2">
        <v>0</v>
      </c>
      <c r="E31" s="2">
        <f>1500/2</f>
        <v>750</v>
      </c>
      <c r="G31" s="6">
        <f t="shared" si="1"/>
        <v>-750</v>
      </c>
      <c r="I31" s="2">
        <v>1500</v>
      </c>
    </row>
    <row r="32" spans="1:11" x14ac:dyDescent="0.25">
      <c r="A32" t="s">
        <v>18</v>
      </c>
      <c r="C32" s="2">
        <v>0</v>
      </c>
      <c r="E32" s="2">
        <f>1750</f>
        <v>1750</v>
      </c>
      <c r="G32" s="6">
        <f t="shared" si="1"/>
        <v>-1750</v>
      </c>
      <c r="I32" s="2">
        <v>1750</v>
      </c>
    </row>
    <row r="33" spans="1:9" x14ac:dyDescent="0.25">
      <c r="G33" s="6"/>
    </row>
    <row r="34" spans="1:9" x14ac:dyDescent="0.25">
      <c r="A34" s="1" t="s">
        <v>22</v>
      </c>
      <c r="C34" s="2">
        <f>SUM(C17:C33)</f>
        <v>39949.300000000003</v>
      </c>
      <c r="E34" s="2">
        <f>SUM(E17:E33)</f>
        <v>45155</v>
      </c>
      <c r="G34" s="2">
        <f>SUM(G17:G33)</f>
        <v>-5205.7</v>
      </c>
      <c r="I34" s="2">
        <f>SUM(I17:I33)</f>
        <v>79510</v>
      </c>
    </row>
    <row r="35" spans="1:9" x14ac:dyDescent="0.25">
      <c r="G35" s="6"/>
    </row>
    <row r="36" spans="1:9" x14ac:dyDescent="0.25">
      <c r="G36" s="6"/>
    </row>
    <row r="37" spans="1:9" x14ac:dyDescent="0.25">
      <c r="A37" s="1" t="s">
        <v>38</v>
      </c>
      <c r="G37" s="6"/>
    </row>
    <row r="38" spans="1:9" x14ac:dyDescent="0.25">
      <c r="A38" s="1"/>
      <c r="G38" s="6"/>
    </row>
    <row r="39" spans="1:9" x14ac:dyDescent="0.25">
      <c r="A39" s="1" t="s">
        <v>37</v>
      </c>
      <c r="C39" s="2">
        <f>C12</f>
        <v>19407.84</v>
      </c>
      <c r="E39" s="2">
        <f>E12</f>
        <v>20250</v>
      </c>
      <c r="G39" s="2">
        <f>G12</f>
        <v>-842.15999999999894</v>
      </c>
      <c r="I39" s="2">
        <f>I12</f>
        <v>83500</v>
      </c>
    </row>
    <row r="40" spans="1:9" x14ac:dyDescent="0.25">
      <c r="A40" s="1" t="s">
        <v>36</v>
      </c>
      <c r="C40" s="2">
        <f>-C34</f>
        <v>-39949.300000000003</v>
      </c>
      <c r="E40" s="2">
        <f>-E34</f>
        <v>-45155</v>
      </c>
      <c r="G40" s="2">
        <f>-G34</f>
        <v>5205.7</v>
      </c>
      <c r="I40" s="2">
        <f>-I34</f>
        <v>-79510</v>
      </c>
    </row>
    <row r="41" spans="1:9" x14ac:dyDescent="0.25">
      <c r="G41" s="6"/>
    </row>
    <row r="42" spans="1:9" x14ac:dyDescent="0.25">
      <c r="A42" s="1" t="s">
        <v>39</v>
      </c>
      <c r="C42" s="2">
        <f>SUM(C39:C40)</f>
        <v>-20541.460000000003</v>
      </c>
      <c r="E42" s="2">
        <f>SUM(E39:E40)</f>
        <v>-24905</v>
      </c>
      <c r="G42" s="2">
        <f>SUM(G39:G40)</f>
        <v>4363.5400000000009</v>
      </c>
      <c r="I42" s="2">
        <f>SUM(I39:I40)</f>
        <v>3990</v>
      </c>
    </row>
    <row r="43" spans="1:9" x14ac:dyDescent="0.25">
      <c r="G43" s="6"/>
    </row>
    <row r="44" spans="1:9" x14ac:dyDescent="0.25">
      <c r="G44" s="6"/>
    </row>
    <row r="45" spans="1:9" x14ac:dyDescent="0.25">
      <c r="G45" s="6"/>
    </row>
    <row r="46" spans="1:9" x14ac:dyDescent="0.25">
      <c r="G46" s="6"/>
    </row>
    <row r="47" spans="1:9" x14ac:dyDescent="0.25">
      <c r="G47" s="6"/>
    </row>
    <row r="48" spans="1:9" x14ac:dyDescent="0.25">
      <c r="G48" s="6"/>
    </row>
  </sheetData>
  <pageMargins left="0.7" right="0.7" top="0.75" bottom="0.75" header="0.3" footer="0.3"/>
  <pageSetup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8" workbookViewId="0">
      <selection activeCell="A27" sqref="A27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</cols>
  <sheetData>
    <row r="1" spans="1:13" x14ac:dyDescent="0.25">
      <c r="D1" s="3" t="s">
        <v>46</v>
      </c>
      <c r="E1" s="3"/>
      <c r="I1" s="3"/>
      <c r="J1" s="3" t="s">
        <v>52</v>
      </c>
    </row>
    <row r="2" spans="1:13" x14ac:dyDescent="0.25">
      <c r="C2" s="9" t="s">
        <v>51</v>
      </c>
      <c r="E2" s="9" t="s">
        <v>51</v>
      </c>
      <c r="G2" s="9" t="s">
        <v>51</v>
      </c>
      <c r="I2" s="8" t="s">
        <v>50</v>
      </c>
      <c r="K2" s="10" t="s">
        <v>50</v>
      </c>
      <c r="M2" s="5" t="s">
        <v>50</v>
      </c>
    </row>
    <row r="3" spans="1:13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3" x14ac:dyDescent="0.25">
      <c r="A4" s="1" t="s">
        <v>44</v>
      </c>
      <c r="M4" s="7"/>
    </row>
    <row r="5" spans="1:13" x14ac:dyDescent="0.25">
      <c r="A5" t="s">
        <v>27</v>
      </c>
      <c r="C5" s="2">
        <f>6800.4+434.31+1667.38+2051.26</f>
        <v>10953.35</v>
      </c>
      <c r="E5" s="2">
        <f>46000/3</f>
        <v>15333.333333333334</v>
      </c>
      <c r="G5" s="6">
        <f>C5-E5</f>
        <v>-4379.9833333333336</v>
      </c>
      <c r="H5" s="6"/>
      <c r="I5" s="2">
        <f>'Jul-Dec 2011'!C5+C5</f>
        <v>11861.27</v>
      </c>
      <c r="K5" s="2">
        <f>46000/3</f>
        <v>15333.333333333334</v>
      </c>
      <c r="M5" s="6">
        <f>I5-K5</f>
        <v>-3472.0633333333335</v>
      </c>
    </row>
    <row r="6" spans="1:13" x14ac:dyDescent="0.25">
      <c r="A6" t="s">
        <v>30</v>
      </c>
      <c r="C6" s="2">
        <v>4682.2700000000004</v>
      </c>
      <c r="E6" s="2">
        <f>6500/12</f>
        <v>541.66666666666663</v>
      </c>
      <c r="G6" s="6">
        <f t="shared" ref="G6:G10" si="0">C6-E6</f>
        <v>4140.6033333333335</v>
      </c>
      <c r="H6" s="6"/>
      <c r="I6" s="2">
        <f>'Jul-Dec 2011'!C6+C6</f>
        <v>4682.2700000000004</v>
      </c>
      <c r="K6" s="2">
        <f t="shared" ref="K6:K7" si="1">E6*7</f>
        <v>3791.6666666666665</v>
      </c>
      <c r="M6" s="6">
        <f t="shared" ref="M6:M12" si="2">I6-K6</f>
        <v>890.60333333333392</v>
      </c>
    </row>
    <row r="7" spans="1:13" x14ac:dyDescent="0.25">
      <c r="A7" t="s">
        <v>28</v>
      </c>
      <c r="C7" s="2">
        <f>1.4+30.62+23.21</f>
        <v>55.230000000000004</v>
      </c>
      <c r="E7" s="2">
        <f>900/12</f>
        <v>75</v>
      </c>
      <c r="G7" s="6">
        <f t="shared" si="0"/>
        <v>-19.769999999999996</v>
      </c>
      <c r="H7" s="6"/>
      <c r="I7" s="2">
        <f>'Jul-Dec 2011'!C7+C7</f>
        <v>881.98000000000013</v>
      </c>
      <c r="K7" s="2">
        <f t="shared" si="1"/>
        <v>525</v>
      </c>
      <c r="M7" s="6">
        <f t="shared" si="2"/>
        <v>356.98000000000013</v>
      </c>
    </row>
    <row r="8" spans="1:13" x14ac:dyDescent="0.25">
      <c r="A8" t="s">
        <v>26</v>
      </c>
      <c r="C8" s="2">
        <v>828</v>
      </c>
      <c r="E8" s="2">
        <f>23500/4/3</f>
        <v>1958.3333333333333</v>
      </c>
      <c r="G8" s="6">
        <f t="shared" si="0"/>
        <v>-1130.3333333333333</v>
      </c>
      <c r="H8" s="6"/>
      <c r="I8" s="2">
        <f>'Jul-Dec 2011'!C8+C8</f>
        <v>16828.79</v>
      </c>
      <c r="K8" s="2">
        <f>E8*7</f>
        <v>13708.333333333332</v>
      </c>
      <c r="M8" s="6">
        <f t="shared" si="2"/>
        <v>3120.4566666666688</v>
      </c>
    </row>
    <row r="9" spans="1:13" x14ac:dyDescent="0.25">
      <c r="A9" t="s">
        <v>0</v>
      </c>
      <c r="C9" s="2">
        <v>271.63</v>
      </c>
      <c r="E9" s="2">
        <f>3600/12</f>
        <v>300</v>
      </c>
      <c r="G9" s="6">
        <f t="shared" si="0"/>
        <v>-28.370000000000005</v>
      </c>
      <c r="H9" s="6"/>
      <c r="I9" s="2">
        <f>'Jul-Dec 2011'!C9+C9</f>
        <v>1944.0100000000002</v>
      </c>
      <c r="K9" s="2">
        <f>E9*7</f>
        <v>2100</v>
      </c>
      <c r="M9" s="6">
        <f t="shared" si="2"/>
        <v>-155.98999999999978</v>
      </c>
    </row>
    <row r="10" spans="1:13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'Jul-Dec 2011'!C10+C10</f>
        <v>0</v>
      </c>
      <c r="K10" s="2">
        <v>3000</v>
      </c>
      <c r="M10" s="6">
        <f t="shared" si="2"/>
        <v>-3000</v>
      </c>
    </row>
    <row r="11" spans="1:13" x14ac:dyDescent="0.25">
      <c r="G11" s="6"/>
      <c r="H11" s="6"/>
      <c r="I11" s="2"/>
    </row>
    <row r="12" spans="1:13" x14ac:dyDescent="0.25">
      <c r="A12" s="1" t="s">
        <v>47</v>
      </c>
      <c r="C12" s="2">
        <f>SUM(C5:C11)</f>
        <v>16790.48</v>
      </c>
      <c r="E12" s="2">
        <f>SUM(E5:E11)</f>
        <v>21208.333333333332</v>
      </c>
      <c r="G12" s="2">
        <f>SUM(G5:G11)</f>
        <v>-4417.8533333333335</v>
      </c>
      <c r="H12" s="2"/>
      <c r="I12" s="2">
        <f>SUM(I5:I11)</f>
        <v>36198.32</v>
      </c>
      <c r="K12" s="2">
        <f>SUM(K5:K11)</f>
        <v>38458.333333333328</v>
      </c>
      <c r="M12" s="6">
        <f t="shared" si="2"/>
        <v>-2260.0133333333288</v>
      </c>
    </row>
    <row r="15" spans="1:13" x14ac:dyDescent="0.25">
      <c r="A15" s="1" t="s">
        <v>45</v>
      </c>
    </row>
    <row r="16" spans="1:13" x14ac:dyDescent="0.25">
      <c r="A16" t="s">
        <v>3</v>
      </c>
    </row>
    <row r="17" spans="1:13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'Jul-Dec 2011'!C17+C17</f>
        <v>1825</v>
      </c>
      <c r="K17" s="2">
        <f>E17*7</f>
        <v>2100</v>
      </c>
      <c r="M17" s="6">
        <f t="shared" ref="M17:M32" si="4">I17-K17</f>
        <v>-275</v>
      </c>
    </row>
    <row r="18" spans="1:13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'Jul-Dec 2011'!C18+C18</f>
        <v>4275</v>
      </c>
      <c r="K18" s="2">
        <f>9600/2</f>
        <v>4800</v>
      </c>
      <c r="M18" s="6">
        <f t="shared" si="4"/>
        <v>-525</v>
      </c>
    </row>
    <row r="19" spans="1:13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'Jul-Dec 2011'!C19+C19</f>
        <v>3500</v>
      </c>
      <c r="K19" s="2">
        <v>4500</v>
      </c>
      <c r="M19" s="6">
        <f t="shared" si="4"/>
        <v>-1000</v>
      </c>
    </row>
    <row r="20" spans="1:13" x14ac:dyDescent="0.25">
      <c r="A20" t="s">
        <v>6</v>
      </c>
      <c r="C20" s="2">
        <v>366.35</v>
      </c>
      <c r="E20" s="2">
        <f>4200/12</f>
        <v>350</v>
      </c>
      <c r="G20" s="6">
        <f t="shared" si="3"/>
        <v>16.350000000000023</v>
      </c>
      <c r="H20" s="6"/>
      <c r="I20" s="2">
        <f>'Jul-Dec 2011'!C20+C20</f>
        <v>2574.35</v>
      </c>
      <c r="K20" s="2">
        <f>E20*7</f>
        <v>2450</v>
      </c>
      <c r="M20" s="6">
        <f t="shared" si="4"/>
        <v>124.34999999999991</v>
      </c>
    </row>
    <row r="21" spans="1:13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'Jul-Dec 2011'!C21+C21</f>
        <v>19372.5</v>
      </c>
      <c r="K21" s="2">
        <f>E21*7</f>
        <v>19372.5</v>
      </c>
      <c r="M21" s="6">
        <f t="shared" si="4"/>
        <v>0</v>
      </c>
    </row>
    <row r="22" spans="1:13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'Jul-Dec 2011'!C22+C22</f>
        <v>3740.8</v>
      </c>
      <c r="K22" s="2">
        <v>3600</v>
      </c>
      <c r="M22" s="6">
        <f t="shared" si="4"/>
        <v>140.80000000000018</v>
      </c>
    </row>
    <row r="23" spans="1:13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'Jul-Dec 2011'!C23+C23</f>
        <v>568</v>
      </c>
      <c r="K23" s="2">
        <v>600</v>
      </c>
      <c r="M23" s="6">
        <f t="shared" si="4"/>
        <v>-32</v>
      </c>
    </row>
    <row r="24" spans="1:13" x14ac:dyDescent="0.25">
      <c r="A24" t="s">
        <v>10</v>
      </c>
      <c r="C24" s="2">
        <v>0</v>
      </c>
      <c r="E24" s="2">
        <v>0</v>
      </c>
      <c r="G24" s="6">
        <f t="shared" si="3"/>
        <v>0</v>
      </c>
      <c r="H24" s="6"/>
      <c r="I24" s="2">
        <f>'Jul-Dec 2011'!C24+C24</f>
        <v>0</v>
      </c>
      <c r="K24" s="2">
        <v>350</v>
      </c>
      <c r="M24" s="6">
        <f t="shared" si="4"/>
        <v>-350</v>
      </c>
    </row>
    <row r="25" spans="1:13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'Jul-Dec 2011'!C25+C25</f>
        <v>5233.5</v>
      </c>
      <c r="K25" s="2">
        <v>1500</v>
      </c>
      <c r="M25" s="6">
        <f t="shared" si="4"/>
        <v>3733.5</v>
      </c>
    </row>
    <row r="26" spans="1:13" x14ac:dyDescent="0.25">
      <c r="A26" t="s">
        <v>12</v>
      </c>
      <c r="C26" s="2">
        <v>397</v>
      </c>
      <c r="E26" s="2">
        <f>7000/4</f>
        <v>1750</v>
      </c>
      <c r="G26" s="6">
        <f t="shared" si="3"/>
        <v>-1353</v>
      </c>
      <c r="H26" s="6"/>
      <c r="I26" s="2">
        <f>'Jul-Dec 2011'!C26+C26</f>
        <v>507</v>
      </c>
      <c r="K26" s="2">
        <f>7000/4</f>
        <v>1750</v>
      </c>
      <c r="M26" s="6">
        <f t="shared" si="4"/>
        <v>-1243</v>
      </c>
    </row>
    <row r="27" spans="1:13" x14ac:dyDescent="0.25">
      <c r="A27" t="s">
        <v>13</v>
      </c>
      <c r="C27" s="2">
        <v>50</v>
      </c>
      <c r="E27" s="2">
        <v>0</v>
      </c>
      <c r="G27" s="6">
        <f t="shared" si="3"/>
        <v>50</v>
      </c>
      <c r="H27" s="6"/>
      <c r="I27" s="2">
        <f>'Jul-Dec 2011'!C27+C27</f>
        <v>50</v>
      </c>
      <c r="K27" s="2">
        <v>2000</v>
      </c>
      <c r="M27" s="6">
        <f t="shared" si="4"/>
        <v>-1950</v>
      </c>
    </row>
    <row r="28" spans="1:13" x14ac:dyDescent="0.25">
      <c r="A28" t="s">
        <v>14</v>
      </c>
      <c r="C28" s="2">
        <v>44</v>
      </c>
      <c r="E28" s="2">
        <f>600/12</f>
        <v>50</v>
      </c>
      <c r="G28" s="6">
        <f t="shared" si="3"/>
        <v>-6</v>
      </c>
      <c r="H28" s="6"/>
      <c r="I28" s="2">
        <f>'Jul-Dec 2011'!C28+C28</f>
        <v>114</v>
      </c>
      <c r="K28" s="2">
        <f>E28*7</f>
        <v>350</v>
      </c>
      <c r="M28" s="6">
        <f t="shared" si="4"/>
        <v>-236</v>
      </c>
    </row>
    <row r="29" spans="1:13" x14ac:dyDescent="0.25">
      <c r="A29" t="s">
        <v>15</v>
      </c>
      <c r="C29" s="2">
        <f>75.25+50</f>
        <v>125.25</v>
      </c>
      <c r="E29" s="2">
        <f>2500/12</f>
        <v>208.33333333333334</v>
      </c>
      <c r="G29" s="6">
        <f t="shared" si="3"/>
        <v>-83.083333333333343</v>
      </c>
      <c r="H29" s="6"/>
      <c r="I29" s="2">
        <f>'Jul-Dec 2011'!C29+C29</f>
        <v>1089.25</v>
      </c>
      <c r="K29" s="2">
        <f>E29*7</f>
        <v>1458.3333333333335</v>
      </c>
      <c r="M29" s="6">
        <f t="shared" si="4"/>
        <v>-369.08333333333348</v>
      </c>
    </row>
    <row r="30" spans="1:13" x14ac:dyDescent="0.25">
      <c r="A30" t="s">
        <v>16</v>
      </c>
      <c r="C30" s="2">
        <v>0</v>
      </c>
      <c r="E30" s="2">
        <f>3000/2</f>
        <v>1500</v>
      </c>
      <c r="G30" s="6">
        <f t="shared" si="3"/>
        <v>-1500</v>
      </c>
      <c r="H30" s="6"/>
      <c r="I30" s="2">
        <f>'Jul-Dec 2011'!C30+C30</f>
        <v>1150</v>
      </c>
      <c r="K30" s="2">
        <v>3000</v>
      </c>
      <c r="M30" s="6">
        <f t="shared" si="4"/>
        <v>-1850</v>
      </c>
    </row>
    <row r="31" spans="1:13" x14ac:dyDescent="0.25">
      <c r="A31" t="s">
        <v>17</v>
      </c>
      <c r="C31" s="2">
        <v>0</v>
      </c>
      <c r="E31" s="2">
        <f>1500/2</f>
        <v>750</v>
      </c>
      <c r="G31" s="6">
        <f t="shared" si="3"/>
        <v>-750</v>
      </c>
      <c r="H31" s="6"/>
      <c r="I31" s="2">
        <f>'Jul-Dec 2011'!C31+C31</f>
        <v>0</v>
      </c>
      <c r="K31" s="2">
        <v>1500</v>
      </c>
      <c r="M31" s="6">
        <f t="shared" si="4"/>
        <v>-1500</v>
      </c>
    </row>
    <row r="32" spans="1:13" x14ac:dyDescent="0.25">
      <c r="A32" t="s">
        <v>18</v>
      </c>
      <c r="C32" s="2">
        <v>1793.53</v>
      </c>
      <c r="E32" s="2">
        <f>1750</f>
        <v>1750</v>
      </c>
      <c r="G32" s="6">
        <f t="shared" si="3"/>
        <v>43.529999999999973</v>
      </c>
      <c r="H32" s="6"/>
      <c r="I32" s="2">
        <f>'Jul-Dec 2011'!C32+C32</f>
        <v>1793.53</v>
      </c>
      <c r="K32" s="2">
        <v>1750</v>
      </c>
      <c r="M32" s="6">
        <f t="shared" si="4"/>
        <v>43.529999999999973</v>
      </c>
    </row>
    <row r="33" spans="1:13" x14ac:dyDescent="0.25">
      <c r="G33" s="6"/>
      <c r="H33" s="6"/>
      <c r="I33" s="6"/>
    </row>
    <row r="34" spans="1:13" x14ac:dyDescent="0.25">
      <c r="A34" s="1" t="s">
        <v>53</v>
      </c>
      <c r="C34" s="2">
        <f>SUM(C17:C33)</f>
        <v>5843.63</v>
      </c>
      <c r="E34" s="2">
        <f>SUM(E17:E33)</f>
        <v>9550.8333333333321</v>
      </c>
      <c r="G34" s="2">
        <f>SUM(G17:G33)</f>
        <v>-3707.2033333333338</v>
      </c>
      <c r="H34" s="2"/>
      <c r="I34" s="2">
        <f>SUM(I17:I33)</f>
        <v>45792.93</v>
      </c>
      <c r="K34" s="2">
        <f>SUM(K17:K33)</f>
        <v>51080.833333333336</v>
      </c>
      <c r="M34" s="2">
        <f>SUM(M17:M33)</f>
        <v>-5287.9033333333336</v>
      </c>
    </row>
    <row r="35" spans="1:13" x14ac:dyDescent="0.25">
      <c r="G35" s="6"/>
      <c r="H35" s="6"/>
      <c r="I35" s="6"/>
    </row>
    <row r="36" spans="1:13" x14ac:dyDescent="0.25">
      <c r="G36" s="6"/>
      <c r="H36" s="6"/>
      <c r="I36" s="6"/>
    </row>
    <row r="37" spans="1:13" x14ac:dyDescent="0.25">
      <c r="A37" s="1" t="s">
        <v>38</v>
      </c>
      <c r="G37" s="6"/>
      <c r="H37" s="6"/>
      <c r="I37" s="6"/>
    </row>
    <row r="38" spans="1:13" x14ac:dyDescent="0.25">
      <c r="A38" s="1"/>
      <c r="G38" s="6"/>
      <c r="H38" s="6"/>
      <c r="I38" s="6"/>
    </row>
    <row r="39" spans="1:13" x14ac:dyDescent="0.25">
      <c r="A39" s="1" t="s">
        <v>48</v>
      </c>
      <c r="C39" s="2">
        <f>C12</f>
        <v>16790.48</v>
      </c>
      <c r="E39" s="2">
        <f>E12</f>
        <v>21208.333333333332</v>
      </c>
      <c r="G39" s="2">
        <f>G12</f>
        <v>-4417.8533333333335</v>
      </c>
      <c r="H39" s="2"/>
      <c r="I39" s="2">
        <f>I12</f>
        <v>36198.32</v>
      </c>
      <c r="K39" s="2">
        <f>K12</f>
        <v>38458.333333333328</v>
      </c>
      <c r="M39" s="2">
        <f>M12</f>
        <v>-2260.0133333333288</v>
      </c>
    </row>
    <row r="40" spans="1:13" x14ac:dyDescent="0.25">
      <c r="A40" s="1" t="s">
        <v>49</v>
      </c>
      <c r="C40" s="2">
        <f>-C34</f>
        <v>-5843.63</v>
      </c>
      <c r="E40" s="2">
        <f>-E34</f>
        <v>-9550.8333333333321</v>
      </c>
      <c r="G40" s="2">
        <f>-G34</f>
        <v>3707.2033333333338</v>
      </c>
      <c r="H40" s="2"/>
      <c r="I40" s="2">
        <f>-I34</f>
        <v>-45792.93</v>
      </c>
      <c r="K40" s="2">
        <f>-K34</f>
        <v>-51080.833333333336</v>
      </c>
      <c r="M40" s="2">
        <f>-M34</f>
        <v>5287.9033333333336</v>
      </c>
    </row>
    <row r="41" spans="1:13" x14ac:dyDescent="0.25">
      <c r="G41" s="6"/>
      <c r="H41" s="6"/>
      <c r="I41" s="2"/>
      <c r="M41" s="2"/>
    </row>
    <row r="42" spans="1:13" x14ac:dyDescent="0.25">
      <c r="A42" s="1" t="s">
        <v>39</v>
      </c>
      <c r="C42" s="2">
        <f>SUM(C39:C40)</f>
        <v>10946.849999999999</v>
      </c>
      <c r="E42" s="2">
        <f>SUM(E39:E40)</f>
        <v>11657.5</v>
      </c>
      <c r="G42" s="2">
        <f>SUM(G39:G40)</f>
        <v>-710.64999999999964</v>
      </c>
      <c r="H42" s="2"/>
      <c r="I42" s="2">
        <f>SUM(I39:I40)</f>
        <v>-9594.61</v>
      </c>
      <c r="K42" s="2">
        <f>SUM(K39:K40)</f>
        <v>-12622.500000000007</v>
      </c>
      <c r="M42" s="2">
        <f>SUM(M39:M40)</f>
        <v>3027.8900000000049</v>
      </c>
    </row>
    <row r="43" spans="1:13" x14ac:dyDescent="0.25">
      <c r="G43" s="6"/>
      <c r="H43" s="6"/>
      <c r="I43" s="6"/>
    </row>
    <row r="44" spans="1:13" x14ac:dyDescent="0.25">
      <c r="G44" s="6"/>
      <c r="H44" s="6"/>
      <c r="I44" s="6"/>
    </row>
    <row r="45" spans="1:13" x14ac:dyDescent="0.25">
      <c r="G45" s="6"/>
      <c r="H45" s="6"/>
      <c r="I45" s="6"/>
    </row>
    <row r="46" spans="1:13" x14ac:dyDescent="0.25">
      <c r="G46" s="6"/>
      <c r="H46" s="6"/>
      <c r="I46" s="6"/>
    </row>
    <row r="47" spans="1:13" x14ac:dyDescent="0.25">
      <c r="G47" s="6"/>
      <c r="H47" s="6"/>
      <c r="I47" s="6"/>
    </row>
    <row r="48" spans="1:13" x14ac:dyDescent="0.25">
      <c r="G48" s="6"/>
      <c r="H48" s="6"/>
      <c r="I48" s="6"/>
    </row>
  </sheetData>
  <pageMargins left="0.7" right="0.7" top="0.75" bottom="0.75" header="0.3" footer="0.3"/>
  <pageSetup scale="82" fitToWidth="0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12" workbookViewId="0">
      <selection activeCell="A36" sqref="A36"/>
    </sheetView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54</v>
      </c>
      <c r="E1" s="3"/>
      <c r="I1" s="3"/>
      <c r="J1" s="3" t="s">
        <v>52</v>
      </c>
    </row>
    <row r="2" spans="1:15" x14ac:dyDescent="0.25">
      <c r="C2" s="9" t="s">
        <v>56</v>
      </c>
      <c r="E2" s="9" t="s">
        <v>56</v>
      </c>
      <c r="G2" s="9" t="s">
        <v>56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55</v>
      </c>
      <c r="M4" s="7"/>
    </row>
    <row r="5" spans="1:15" x14ac:dyDescent="0.25">
      <c r="A5" t="s">
        <v>27</v>
      </c>
      <c r="C5" s="2">
        <f>287.88+2180.45+3500+4229.25+11794.05+2751.63</f>
        <v>24743.26</v>
      </c>
      <c r="E5" s="2">
        <f>46000/3</f>
        <v>15333.333333333334</v>
      </c>
      <c r="G5" s="6">
        <f>C5-E5</f>
        <v>9409.9266666666645</v>
      </c>
      <c r="H5" s="6"/>
      <c r="I5" s="2">
        <f>'Jan 2012'!I5+C5</f>
        <v>36604.53</v>
      </c>
      <c r="K5" s="2">
        <f>46000/3*2</f>
        <v>30666.666666666668</v>
      </c>
      <c r="M5" s="6">
        <f>I5-K5</f>
        <v>5937.863333333331</v>
      </c>
      <c r="O5" s="2">
        <v>46000</v>
      </c>
    </row>
    <row r="6" spans="1:15" x14ac:dyDescent="0.25">
      <c r="A6" t="s">
        <v>30</v>
      </c>
      <c r="C6" s="2">
        <v>599</v>
      </c>
      <c r="E6" s="2">
        <f>6500/12</f>
        <v>541.66666666666663</v>
      </c>
      <c r="G6" s="6">
        <f t="shared" ref="G6:G10" si="0">C6-E6</f>
        <v>57.333333333333371</v>
      </c>
      <c r="H6" s="6"/>
      <c r="I6" s="2">
        <f>'Jan 2012'!I6+C6</f>
        <v>5281.27</v>
      </c>
      <c r="K6" s="2">
        <f>E6*8</f>
        <v>4333.333333333333</v>
      </c>
      <c r="M6" s="6">
        <f t="shared" ref="M6:M12" si="1">I6-K6</f>
        <v>947.93666666666741</v>
      </c>
      <c r="O6" s="2">
        <v>6500</v>
      </c>
    </row>
    <row r="7" spans="1:15" x14ac:dyDescent="0.25">
      <c r="A7" t="s">
        <v>28</v>
      </c>
      <c r="C7" s="2">
        <f>43.81+1.47+21.72</f>
        <v>67</v>
      </c>
      <c r="E7" s="2">
        <f>900/12</f>
        <v>75</v>
      </c>
      <c r="G7" s="6">
        <f t="shared" si="0"/>
        <v>-8</v>
      </c>
      <c r="H7" s="6"/>
      <c r="I7" s="2">
        <f>'Jan 2012'!I7+C7</f>
        <v>948.98000000000013</v>
      </c>
      <c r="K7" s="2">
        <f t="shared" ref="K7:K9" si="2">E7*8</f>
        <v>600</v>
      </c>
      <c r="M7" s="6">
        <f t="shared" si="1"/>
        <v>348.98000000000013</v>
      </c>
      <c r="O7" s="2">
        <v>900</v>
      </c>
    </row>
    <row r="8" spans="1:15" x14ac:dyDescent="0.25">
      <c r="A8" t="s">
        <v>26</v>
      </c>
      <c r="C8" s="2">
        <f>3846.76+789.35</f>
        <v>4636.1100000000006</v>
      </c>
      <c r="E8" s="2">
        <f>23500/4/3</f>
        <v>1958.3333333333333</v>
      </c>
      <c r="G8" s="6">
        <f t="shared" si="0"/>
        <v>2677.7766666666676</v>
      </c>
      <c r="H8" s="6"/>
      <c r="I8" s="2">
        <f>'Jan 2012'!I8+C8</f>
        <v>21464.9</v>
      </c>
      <c r="K8" s="2">
        <f t="shared" si="2"/>
        <v>15666.666666666666</v>
      </c>
      <c r="M8" s="6">
        <f t="shared" si="1"/>
        <v>5798.2333333333354</v>
      </c>
      <c r="O8" s="2">
        <v>23500</v>
      </c>
    </row>
    <row r="9" spans="1:15" x14ac:dyDescent="0.25">
      <c r="A9" t="s">
        <v>0</v>
      </c>
      <c r="C9" s="2">
        <v>271.63</v>
      </c>
      <c r="E9" s="2">
        <f>3600/12</f>
        <v>300</v>
      </c>
      <c r="G9" s="6">
        <f t="shared" si="0"/>
        <v>-28.370000000000005</v>
      </c>
      <c r="H9" s="6"/>
      <c r="I9" s="2">
        <f>'Jan 2012'!I9+C9</f>
        <v>2215.6400000000003</v>
      </c>
      <c r="K9" s="2">
        <f t="shared" si="2"/>
        <v>2400</v>
      </c>
      <c r="M9" s="6">
        <f t="shared" si="1"/>
        <v>-184.35999999999967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'Jul-Dec 2011'!C10+C10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58</v>
      </c>
      <c r="C12" s="2">
        <f>SUM(C5:C11)</f>
        <v>30317</v>
      </c>
      <c r="E12" s="2">
        <f>SUM(E5:E11)</f>
        <v>21208.333333333332</v>
      </c>
      <c r="G12" s="2">
        <f>SUM(G5:G11)</f>
        <v>9108.6666666666661</v>
      </c>
      <c r="H12" s="2"/>
      <c r="I12" s="2">
        <f>SUM(I5:I11)</f>
        <v>66515.320000000007</v>
      </c>
      <c r="K12" s="2">
        <f>SUM(K5:K11)</f>
        <v>56666.666666666664</v>
      </c>
      <c r="M12" s="6">
        <f t="shared" si="1"/>
        <v>9848.6533333333427</v>
      </c>
      <c r="O12" s="2">
        <f>SUM(O5:O11)</f>
        <v>83500</v>
      </c>
    </row>
    <row r="15" spans="1:15" x14ac:dyDescent="0.25">
      <c r="A15" s="1" t="s">
        <v>59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'Jan 2012'!I17+C17</f>
        <v>2125</v>
      </c>
      <c r="K17" s="2">
        <f>E17*7</f>
        <v>2100</v>
      </c>
      <c r="M17" s="6">
        <f t="shared" ref="M17:M32" si="4">I17-K17</f>
        <v>25</v>
      </c>
      <c r="O17" s="2">
        <v>3600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'Jan 2012'!I18+C18</f>
        <v>4275</v>
      </c>
      <c r="K18" s="2">
        <f>9600/2</f>
        <v>4800</v>
      </c>
      <c r="M18" s="6">
        <f t="shared" si="4"/>
        <v>-525</v>
      </c>
      <c r="O18" s="2">
        <v>9600</v>
      </c>
    </row>
    <row r="19" spans="1:15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'Jan 2012'!I19+C19</f>
        <v>3500</v>
      </c>
      <c r="K19" s="2">
        <v>4500</v>
      </c>
      <c r="M19" s="6">
        <f t="shared" si="4"/>
        <v>-1000</v>
      </c>
      <c r="O19" s="2">
        <v>4500</v>
      </c>
    </row>
    <row r="20" spans="1:15" x14ac:dyDescent="0.25">
      <c r="A20" t="s">
        <v>6</v>
      </c>
      <c r="C20" s="2">
        <v>367.3</v>
      </c>
      <c r="E20" s="2">
        <f>4200/12</f>
        <v>350</v>
      </c>
      <c r="G20" s="6">
        <f t="shared" si="3"/>
        <v>17.300000000000011</v>
      </c>
      <c r="H20" s="6"/>
      <c r="I20" s="2">
        <f>'Jan 2012'!I20+C20</f>
        <v>2941.65</v>
      </c>
      <c r="K20" s="2">
        <f>E20*7</f>
        <v>2450</v>
      </c>
      <c r="M20" s="6">
        <f t="shared" si="4"/>
        <v>491.65000000000009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'Jan 2012'!I21+C21</f>
        <v>22140</v>
      </c>
      <c r="K21" s="2">
        <f>E21*7</f>
        <v>19372.5</v>
      </c>
      <c r="M21" s="6">
        <f t="shared" si="4"/>
        <v>2767.5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'Jan 2012'!I22+C22</f>
        <v>3740.8</v>
      </c>
      <c r="K22" s="2">
        <v>3600</v>
      </c>
      <c r="M22" s="6">
        <f t="shared" si="4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'Jan 2012'!I23+C23</f>
        <v>568</v>
      </c>
      <c r="K23" s="2">
        <v>600</v>
      </c>
      <c r="M23" s="6">
        <f t="shared" si="4"/>
        <v>-32</v>
      </c>
      <c r="O23" s="2">
        <v>600</v>
      </c>
    </row>
    <row r="24" spans="1:15" x14ac:dyDescent="0.25">
      <c r="A24" t="s">
        <v>10</v>
      </c>
      <c r="C24" s="2">
        <v>335</v>
      </c>
      <c r="E24" s="2">
        <v>0</v>
      </c>
      <c r="G24" s="6">
        <f t="shared" si="3"/>
        <v>335</v>
      </c>
      <c r="H24" s="6"/>
      <c r="I24" s="2">
        <f>'Jan 2012'!I24+C24</f>
        <v>335</v>
      </c>
      <c r="K24" s="2">
        <v>350</v>
      </c>
      <c r="M24" s="6">
        <f t="shared" si="4"/>
        <v>-15</v>
      </c>
      <c r="O24" s="2">
        <v>350</v>
      </c>
    </row>
    <row r="25" spans="1:15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'Jan 2012'!I25+C25</f>
        <v>5233.5</v>
      </c>
      <c r="K25" s="2">
        <v>1500</v>
      </c>
      <c r="M25" s="6">
        <f t="shared" si="4"/>
        <v>3733.5</v>
      </c>
      <c r="O25" s="2">
        <v>1500</v>
      </c>
    </row>
    <row r="26" spans="1:15" x14ac:dyDescent="0.25">
      <c r="A26" t="s">
        <v>12</v>
      </c>
      <c r="C26" s="2">
        <v>0</v>
      </c>
      <c r="E26" s="2">
        <f>7000/4</f>
        <v>1750</v>
      </c>
      <c r="G26" s="6">
        <f t="shared" si="3"/>
        <v>-1750</v>
      </c>
      <c r="H26" s="6"/>
      <c r="I26" s="2">
        <f>'Jan 2012'!I26+C26</f>
        <v>507</v>
      </c>
      <c r="K26" s="2">
        <f>7000/4</f>
        <v>1750</v>
      </c>
      <c r="M26" s="6">
        <f t="shared" si="4"/>
        <v>-1243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3"/>
        <v>0</v>
      </c>
      <c r="H27" s="6"/>
      <c r="I27" s="2">
        <f>'Jan 2012'!I27+C27</f>
        <v>50</v>
      </c>
      <c r="K27" s="2">
        <v>2000</v>
      </c>
      <c r="M27" s="6">
        <f t="shared" si="4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3"/>
        <v>-50</v>
      </c>
      <c r="H28" s="6"/>
      <c r="I28" s="2">
        <f>'Jan 2012'!I28+C28</f>
        <v>114</v>
      </c>
      <c r="K28" s="2">
        <f>E28*7</f>
        <v>350</v>
      </c>
      <c r="M28" s="6">
        <f t="shared" si="4"/>
        <v>-236</v>
      </c>
      <c r="O28" s="2">
        <v>600</v>
      </c>
    </row>
    <row r="29" spans="1:15" x14ac:dyDescent="0.25">
      <c r="A29" t="s">
        <v>15</v>
      </c>
      <c r="C29" s="2">
        <f>50+36.99</f>
        <v>86.990000000000009</v>
      </c>
      <c r="E29" s="2">
        <f>2500/12</f>
        <v>208.33333333333334</v>
      </c>
      <c r="G29" s="6">
        <f t="shared" si="3"/>
        <v>-121.34333333333333</v>
      </c>
      <c r="H29" s="6"/>
      <c r="I29" s="2">
        <f>'Jan 2012'!I29+C29</f>
        <v>1176.24</v>
      </c>
      <c r="K29" s="2">
        <f>E29*7</f>
        <v>1458.3333333333335</v>
      </c>
      <c r="M29" s="6">
        <f t="shared" si="4"/>
        <v>-282.09333333333348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3"/>
        <v>-250</v>
      </c>
      <c r="H30" s="6"/>
      <c r="I30" s="2">
        <f>'Jan 2012'!I30+C30</f>
        <v>1150</v>
      </c>
      <c r="K30" s="2">
        <v>3000</v>
      </c>
      <c r="M30" s="6">
        <f t="shared" si="4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3"/>
        <v>-125</v>
      </c>
      <c r="H31" s="6"/>
      <c r="I31" s="2">
        <f>'Jan 2012'!I31+C31</f>
        <v>0</v>
      </c>
      <c r="K31" s="2">
        <v>1500</v>
      </c>
      <c r="M31" s="6">
        <f t="shared" si="4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3"/>
        <v>0</v>
      </c>
      <c r="H32" s="6"/>
      <c r="I32" s="2">
        <f>'Jan 2012'!I32+C32</f>
        <v>1793.53</v>
      </c>
      <c r="K32" s="2">
        <v>1750</v>
      </c>
      <c r="M32" s="6">
        <f t="shared" si="4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60</v>
      </c>
      <c r="C34" s="2">
        <f>SUM(C17:C33)</f>
        <v>3856.79</v>
      </c>
      <c r="E34" s="2">
        <f>SUM(E17:E33)</f>
        <v>5925.833333333333</v>
      </c>
      <c r="G34" s="2">
        <f>SUM(G17:G33)</f>
        <v>-2069.0433333333331</v>
      </c>
      <c r="H34" s="2"/>
      <c r="I34" s="2">
        <f>SUM(I17:I33)</f>
        <v>49649.72</v>
      </c>
      <c r="K34" s="2">
        <f>SUM(K17:K33)</f>
        <v>51080.833333333336</v>
      </c>
      <c r="M34" s="2">
        <f>SUM(M17:M33)</f>
        <v>-1431.1133333333328</v>
      </c>
      <c r="O34" s="2">
        <f>SUM(O17:O33)</f>
        <v>79510</v>
      </c>
    </row>
    <row r="35" spans="1:15" x14ac:dyDescent="0.25">
      <c r="A35" t="s">
        <v>63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61</v>
      </c>
      <c r="C39" s="2">
        <f>C12</f>
        <v>30317</v>
      </c>
      <c r="E39" s="2">
        <f>E12</f>
        <v>21208.333333333332</v>
      </c>
      <c r="G39" s="2">
        <f>G12</f>
        <v>9108.6666666666661</v>
      </c>
      <c r="H39" s="2"/>
      <c r="I39" s="2">
        <f>I12</f>
        <v>66515.320000000007</v>
      </c>
      <c r="K39" s="2">
        <f>K12</f>
        <v>56666.666666666664</v>
      </c>
      <c r="M39" s="2">
        <f>M12</f>
        <v>9848.6533333333427</v>
      </c>
    </row>
    <row r="40" spans="1:15" x14ac:dyDescent="0.25">
      <c r="A40" s="1" t="s">
        <v>62</v>
      </c>
      <c r="C40" s="2">
        <f>-C34</f>
        <v>-3856.79</v>
      </c>
      <c r="E40" s="2">
        <f>-E34</f>
        <v>-5925.833333333333</v>
      </c>
      <c r="G40" s="2">
        <f>-G34</f>
        <v>2069.0433333333331</v>
      </c>
      <c r="H40" s="2"/>
      <c r="I40" s="2">
        <f>-I34</f>
        <v>-49649.72</v>
      </c>
      <c r="K40" s="2">
        <f>-K34</f>
        <v>-51080.833333333336</v>
      </c>
      <c r="M40" s="2">
        <f>-M34</f>
        <v>1431.1133333333328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26460.21</v>
      </c>
      <c r="E42" s="2">
        <f>SUM(E39:E40)</f>
        <v>15282.5</v>
      </c>
      <c r="G42" s="2">
        <f>SUM(G39:G40)</f>
        <v>11177.71</v>
      </c>
      <c r="H42" s="2"/>
      <c r="I42" s="2">
        <f>SUM(I39:I40)</f>
        <v>16865.600000000006</v>
      </c>
      <c r="K42" s="2">
        <f>SUM(K39:K40)</f>
        <v>5585.8333333333285</v>
      </c>
      <c r="M42" s="2">
        <f>SUM(M39:M40)</f>
        <v>11279.766666666676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scale="72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11" workbookViewId="0">
      <selection activeCell="C20" sqref="C20"/>
    </sheetView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72</v>
      </c>
      <c r="E1" s="3"/>
      <c r="I1" s="3"/>
      <c r="J1" s="3" t="s">
        <v>52</v>
      </c>
    </row>
    <row r="2" spans="1:15" x14ac:dyDescent="0.25">
      <c r="C2" s="9" t="s">
        <v>64</v>
      </c>
      <c r="E2" s="9" t="s">
        <v>64</v>
      </c>
      <c r="G2" s="9" t="s">
        <v>64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65</v>
      </c>
      <c r="M4" s="7"/>
    </row>
    <row r="5" spans="1:15" x14ac:dyDescent="0.25">
      <c r="A5" t="s">
        <v>27</v>
      </c>
      <c r="C5" s="2">
        <f>1137.47+2420.79</f>
        <v>3558.26</v>
      </c>
      <c r="E5" s="2">
        <f>46000/3</f>
        <v>15333.333333333334</v>
      </c>
      <c r="G5" s="6">
        <f>C5-E5</f>
        <v>-11775.073333333334</v>
      </c>
      <c r="H5" s="6"/>
      <c r="I5" s="2">
        <f>'Feb 2012'!I5+C5</f>
        <v>40162.79</v>
      </c>
      <c r="K5" s="2">
        <f>46000/3*3</f>
        <v>46000</v>
      </c>
      <c r="M5" s="6">
        <f>I5-K5</f>
        <v>-5837.2099999999991</v>
      </c>
      <c r="O5" s="2">
        <v>46000</v>
      </c>
    </row>
    <row r="6" spans="1:15" x14ac:dyDescent="0.25">
      <c r="A6" t="s">
        <v>30</v>
      </c>
      <c r="C6" s="2">
        <v>548.94000000000005</v>
      </c>
      <c r="E6" s="2">
        <f>6500/12</f>
        <v>541.66666666666663</v>
      </c>
      <c r="G6" s="6">
        <f t="shared" ref="G6:G10" si="0">C6-E6</f>
        <v>7.2733333333334258</v>
      </c>
      <c r="H6" s="6"/>
      <c r="I6" s="2">
        <f>'Feb 2012'!I6+C6</f>
        <v>5830.2100000000009</v>
      </c>
      <c r="K6" s="2">
        <f>E6*9</f>
        <v>4875</v>
      </c>
      <c r="M6" s="6">
        <f t="shared" ref="M6:M12" si="1">I6-K6</f>
        <v>955.21000000000095</v>
      </c>
      <c r="O6" s="2">
        <v>6500</v>
      </c>
    </row>
    <row r="7" spans="1:15" x14ac:dyDescent="0.25">
      <c r="A7" t="s">
        <v>28</v>
      </c>
      <c r="C7" s="2">
        <f>38.88+1.63+23.24</f>
        <v>63.75</v>
      </c>
      <c r="E7" s="2">
        <f>900/12</f>
        <v>75</v>
      </c>
      <c r="G7" s="6">
        <f t="shared" si="0"/>
        <v>-11.25</v>
      </c>
      <c r="H7" s="6"/>
      <c r="I7" s="2">
        <f>'Feb 2012'!I7+C7</f>
        <v>1012.7300000000001</v>
      </c>
      <c r="K7" s="2">
        <f>E7*9</f>
        <v>675</v>
      </c>
      <c r="M7" s="6">
        <f t="shared" si="1"/>
        <v>337.73000000000013</v>
      </c>
      <c r="O7" s="2">
        <v>900</v>
      </c>
    </row>
    <row r="8" spans="1:15" x14ac:dyDescent="0.25">
      <c r="A8" t="s">
        <v>26</v>
      </c>
      <c r="C8" s="2">
        <v>32.56</v>
      </c>
      <c r="E8" s="2">
        <f>23500/4/3</f>
        <v>1958.3333333333333</v>
      </c>
      <c r="G8" s="6">
        <f t="shared" si="0"/>
        <v>-1925.7733333333333</v>
      </c>
      <c r="H8" s="6"/>
      <c r="I8" s="2">
        <f>'Feb 2012'!I8+C8</f>
        <v>21497.460000000003</v>
      </c>
      <c r="K8" s="2">
        <f>E8*9</f>
        <v>17625</v>
      </c>
      <c r="M8" s="6">
        <f t="shared" si="1"/>
        <v>3872.4600000000028</v>
      </c>
      <c r="O8" s="2">
        <v>23500</v>
      </c>
    </row>
    <row r="9" spans="1:15" x14ac:dyDescent="0.25">
      <c r="A9" t="s">
        <v>0</v>
      </c>
      <c r="C9" s="2">
        <v>271.42</v>
      </c>
      <c r="E9" s="2">
        <f>3600/12</f>
        <v>300</v>
      </c>
      <c r="G9" s="6">
        <f t="shared" si="0"/>
        <v>-28.579999999999984</v>
      </c>
      <c r="H9" s="6"/>
      <c r="I9" s="2">
        <f>'Feb 2012'!I9+C9</f>
        <v>2487.0600000000004</v>
      </c>
      <c r="K9" s="2">
        <f>E9*9</f>
        <v>2700</v>
      </c>
      <c r="M9" s="6">
        <f t="shared" si="1"/>
        <v>-212.9399999999996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'Feb 2012'!I10+C10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66</v>
      </c>
      <c r="C12" s="2">
        <f>SUM(C5:C11)</f>
        <v>4474.9300000000012</v>
      </c>
      <c r="E12" s="2">
        <f>SUM(E5:E11)</f>
        <v>21208.333333333332</v>
      </c>
      <c r="G12" s="2">
        <f>SUM(G5:G11)</f>
        <v>-16733.403333333335</v>
      </c>
      <c r="H12" s="2"/>
      <c r="I12" s="2">
        <f>SUM(I5:I11)</f>
        <v>70990.25</v>
      </c>
      <c r="K12" s="2">
        <f>SUM(K5:K11)</f>
        <v>74875</v>
      </c>
      <c r="M12" s="6">
        <f t="shared" si="1"/>
        <v>-3884.75</v>
      </c>
      <c r="O12" s="2">
        <f>SUM(O5:O11)</f>
        <v>83500</v>
      </c>
    </row>
    <row r="15" spans="1:15" x14ac:dyDescent="0.25">
      <c r="A15" s="1" t="s">
        <v>67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2">C17-E17</f>
        <v>0</v>
      </c>
      <c r="H17" s="6"/>
      <c r="I17" s="2">
        <f>'Feb 2012'!I17+C17</f>
        <v>2425</v>
      </c>
      <c r="K17" s="2">
        <f>E17*9</f>
        <v>2700</v>
      </c>
      <c r="M17" s="6">
        <f t="shared" ref="M17:M32" si="3">I17-K17</f>
        <v>-275</v>
      </c>
      <c r="O17" s="2">
        <v>3600</v>
      </c>
    </row>
    <row r="18" spans="1:15" x14ac:dyDescent="0.25">
      <c r="A18" t="s">
        <v>29</v>
      </c>
      <c r="C18" s="2">
        <f>1500+(225*4)</f>
        <v>2400</v>
      </c>
      <c r="E18" s="2">
        <f>9600/4</f>
        <v>2400</v>
      </c>
      <c r="G18" s="6">
        <f t="shared" si="2"/>
        <v>0</v>
      </c>
      <c r="H18" s="6"/>
      <c r="I18" s="2">
        <f>'Feb 2012'!I18+C18</f>
        <v>6675</v>
      </c>
      <c r="K18" s="2">
        <f>9600/4*3</f>
        <v>7200</v>
      </c>
      <c r="M18" s="6">
        <f t="shared" si="3"/>
        <v>-525</v>
      </c>
      <c r="O18" s="2">
        <v>9600</v>
      </c>
    </row>
    <row r="19" spans="1:15" x14ac:dyDescent="0.25">
      <c r="A19" t="s">
        <v>5</v>
      </c>
      <c r="C19" s="2">
        <v>0</v>
      </c>
      <c r="E19" s="2">
        <v>0</v>
      </c>
      <c r="G19" s="6">
        <f t="shared" si="2"/>
        <v>0</v>
      </c>
      <c r="H19" s="6"/>
      <c r="I19" s="2">
        <f>'Feb 2012'!I19+C19</f>
        <v>3500</v>
      </c>
      <c r="K19" s="2">
        <v>4500</v>
      </c>
      <c r="M19" s="6">
        <f t="shared" si="3"/>
        <v>-1000</v>
      </c>
      <c r="O19" s="2">
        <v>4500</v>
      </c>
    </row>
    <row r="20" spans="1:15" x14ac:dyDescent="0.25">
      <c r="A20" t="s">
        <v>6</v>
      </c>
      <c r="C20" s="2">
        <v>367.98</v>
      </c>
      <c r="E20" s="2">
        <f>4200/12</f>
        <v>350</v>
      </c>
      <c r="G20" s="6">
        <f t="shared" si="2"/>
        <v>17.980000000000018</v>
      </c>
      <c r="H20" s="6"/>
      <c r="I20" s="2">
        <f>'Feb 2012'!I20+C20</f>
        <v>3309.63</v>
      </c>
      <c r="K20" s="2">
        <f>E20*9</f>
        <v>3150</v>
      </c>
      <c r="M20" s="6">
        <f t="shared" si="3"/>
        <v>159.63000000000011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2"/>
        <v>0</v>
      </c>
      <c r="H21" s="6"/>
      <c r="I21" s="2">
        <f>'Feb 2012'!I21+C21</f>
        <v>24907.5</v>
      </c>
      <c r="K21" s="2">
        <f>E21*9</f>
        <v>24907.5</v>
      </c>
      <c r="M21" s="6">
        <f t="shared" si="3"/>
        <v>0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2"/>
        <v>0</v>
      </c>
      <c r="H22" s="6"/>
      <c r="I22" s="2">
        <f>'Feb 2012'!I22+C22</f>
        <v>3740.8</v>
      </c>
      <c r="K22" s="2">
        <v>3600</v>
      </c>
      <c r="M22" s="6">
        <f t="shared" si="3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2"/>
        <v>0</v>
      </c>
      <c r="H23" s="6"/>
      <c r="I23" s="2">
        <f>'Feb 2012'!I23+C23</f>
        <v>568</v>
      </c>
      <c r="K23" s="2">
        <v>600</v>
      </c>
      <c r="M23" s="6">
        <f t="shared" si="3"/>
        <v>-32</v>
      </c>
      <c r="O23" s="2">
        <v>600</v>
      </c>
    </row>
    <row r="24" spans="1:15" x14ac:dyDescent="0.25">
      <c r="A24" t="s">
        <v>10</v>
      </c>
      <c r="C24" s="2">
        <v>0</v>
      </c>
      <c r="E24" s="2">
        <v>0</v>
      </c>
      <c r="G24" s="6">
        <f t="shared" si="2"/>
        <v>0</v>
      </c>
      <c r="H24" s="6"/>
      <c r="I24" s="2">
        <f>'Feb 2012'!I24+C24</f>
        <v>335</v>
      </c>
      <c r="K24" s="2">
        <v>350</v>
      </c>
      <c r="M24" s="6">
        <f t="shared" si="3"/>
        <v>-15</v>
      </c>
      <c r="O24" s="2">
        <v>350</v>
      </c>
    </row>
    <row r="25" spans="1:15" x14ac:dyDescent="0.25">
      <c r="A25" t="s">
        <v>11</v>
      </c>
      <c r="C25" s="2">
        <f>153.5+1013.5</f>
        <v>1167</v>
      </c>
      <c r="E25" s="2">
        <f>1500/12</f>
        <v>125</v>
      </c>
      <c r="G25" s="6">
        <f t="shared" si="2"/>
        <v>1042</v>
      </c>
      <c r="H25" s="6"/>
      <c r="I25" s="2">
        <f>'Feb 2012'!I25+C25</f>
        <v>6400.5</v>
      </c>
      <c r="K25" s="2">
        <v>1500</v>
      </c>
      <c r="M25" s="6">
        <f t="shared" si="3"/>
        <v>4900.5</v>
      </c>
      <c r="O25" s="2">
        <v>1500</v>
      </c>
    </row>
    <row r="26" spans="1:15" x14ac:dyDescent="0.25">
      <c r="A26" t="s">
        <v>12</v>
      </c>
      <c r="C26" s="2">
        <f>227+177</f>
        <v>404</v>
      </c>
      <c r="E26" s="2">
        <f>7000/4</f>
        <v>1750</v>
      </c>
      <c r="G26" s="6">
        <f t="shared" si="2"/>
        <v>-1346</v>
      </c>
      <c r="H26" s="6"/>
      <c r="I26" s="2">
        <f>'Feb 2012'!I26+C26</f>
        <v>911</v>
      </c>
      <c r="K26" s="2">
        <f>7000/4</f>
        <v>1750</v>
      </c>
      <c r="M26" s="6">
        <f t="shared" si="3"/>
        <v>-839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2"/>
        <v>0</v>
      </c>
      <c r="H27" s="6"/>
      <c r="I27" s="2">
        <f>'Feb 2012'!I27+C27</f>
        <v>50</v>
      </c>
      <c r="K27" s="2">
        <v>2000</v>
      </c>
      <c r="M27" s="6">
        <f t="shared" si="3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2"/>
        <v>-50</v>
      </c>
      <c r="H28" s="6"/>
      <c r="I28" s="2">
        <f>'Feb 2012'!I28+C28</f>
        <v>114</v>
      </c>
      <c r="K28" s="2">
        <f>E28*9</f>
        <v>450</v>
      </c>
      <c r="M28" s="6">
        <f t="shared" si="3"/>
        <v>-336</v>
      </c>
      <c r="O28" s="2">
        <v>600</v>
      </c>
    </row>
    <row r="29" spans="1:15" x14ac:dyDescent="0.25">
      <c r="A29" t="s">
        <v>15</v>
      </c>
      <c r="C29" s="2">
        <f>50+90</f>
        <v>140</v>
      </c>
      <c r="E29" s="2">
        <f>2500/12</f>
        <v>208.33333333333334</v>
      </c>
      <c r="G29" s="6">
        <f t="shared" si="2"/>
        <v>-68.333333333333343</v>
      </c>
      <c r="H29" s="6"/>
      <c r="I29" s="2">
        <f>'Feb 2012'!I29+C29</f>
        <v>1316.24</v>
      </c>
      <c r="K29" s="2">
        <f>E29*9</f>
        <v>1875</v>
      </c>
      <c r="M29" s="6">
        <f t="shared" si="3"/>
        <v>-558.76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2"/>
        <v>-250</v>
      </c>
      <c r="H30" s="6"/>
      <c r="I30" s="2">
        <f>'Feb 2012'!I30+C30</f>
        <v>1150</v>
      </c>
      <c r="K30" s="2">
        <v>3000</v>
      </c>
      <c r="M30" s="6">
        <f t="shared" si="3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2"/>
        <v>-125</v>
      </c>
      <c r="H31" s="6"/>
      <c r="I31" s="2">
        <f>'Feb 2012'!I31+C31</f>
        <v>0</v>
      </c>
      <c r="K31" s="2">
        <v>1500</v>
      </c>
      <c r="M31" s="6">
        <f t="shared" si="3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2"/>
        <v>0</v>
      </c>
      <c r="H32" s="6"/>
      <c r="I32" s="2">
        <f>'Feb 2012'!I32+C32</f>
        <v>1793.53</v>
      </c>
      <c r="K32" s="2">
        <v>1750</v>
      </c>
      <c r="M32" s="6">
        <f t="shared" si="3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68</v>
      </c>
      <c r="C34" s="2">
        <f>SUM(C17:C33)</f>
        <v>7546.48</v>
      </c>
      <c r="E34" s="2">
        <f>SUM(E17:E33)</f>
        <v>8325.8333333333321</v>
      </c>
      <c r="G34" s="2">
        <f>SUM(G17:G33)</f>
        <v>-779.35333333333335</v>
      </c>
      <c r="H34" s="2"/>
      <c r="I34" s="2">
        <f>SUM(I17:I33)</f>
        <v>57196.200000000004</v>
      </c>
      <c r="K34" s="2">
        <f>SUM(K17:K33)</f>
        <v>60832.5</v>
      </c>
      <c r="M34" s="2">
        <f>SUM(M17:M33)</f>
        <v>-3636.3</v>
      </c>
      <c r="O34" s="2">
        <f>SUM(O17:O33)</f>
        <v>79510</v>
      </c>
    </row>
    <row r="35" spans="1:15" x14ac:dyDescent="0.25">
      <c r="A35" t="s">
        <v>69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70</v>
      </c>
      <c r="C39" s="2">
        <f>C12</f>
        <v>4474.9300000000012</v>
      </c>
      <c r="E39" s="2">
        <f>E12</f>
        <v>21208.333333333332</v>
      </c>
      <c r="G39" s="2">
        <f>G12</f>
        <v>-16733.403333333335</v>
      </c>
      <c r="H39" s="2"/>
      <c r="I39" s="2">
        <f>I12</f>
        <v>70990.25</v>
      </c>
      <c r="K39" s="2">
        <f>K12</f>
        <v>74875</v>
      </c>
      <c r="M39" s="2">
        <f>M12</f>
        <v>-3884.75</v>
      </c>
    </row>
    <row r="40" spans="1:15" x14ac:dyDescent="0.25">
      <c r="A40" s="1" t="s">
        <v>71</v>
      </c>
      <c r="C40" s="2">
        <f>-C34</f>
        <v>-7546.48</v>
      </c>
      <c r="E40" s="2">
        <f>-E34</f>
        <v>-8325.8333333333321</v>
      </c>
      <c r="G40" s="2">
        <f>-G34</f>
        <v>779.35333333333335</v>
      </c>
      <c r="H40" s="2"/>
      <c r="I40" s="2">
        <f>-I34</f>
        <v>-57196.200000000004</v>
      </c>
      <c r="K40" s="2">
        <f>-K34</f>
        <v>-60832.5</v>
      </c>
      <c r="M40" s="2">
        <f>-M34</f>
        <v>3636.3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-3071.5499999999984</v>
      </c>
      <c r="E42" s="2">
        <f>SUM(E39:E40)</f>
        <v>12882.5</v>
      </c>
      <c r="G42" s="2">
        <f>SUM(G39:G40)</f>
        <v>-15954.050000000003</v>
      </c>
      <c r="H42" s="2"/>
      <c r="I42" s="2">
        <f>SUM(I39:I40)</f>
        <v>13794.049999999996</v>
      </c>
      <c r="K42" s="2">
        <f>SUM(K39:K40)</f>
        <v>14042.5</v>
      </c>
      <c r="M42" s="2">
        <f>SUM(M39:M40)</f>
        <v>-248.44999999999982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scale="72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16" workbookViewId="0">
      <selection activeCell="C20" sqref="C20"/>
    </sheetView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75</v>
      </c>
      <c r="E1" s="3"/>
      <c r="I1" s="3"/>
      <c r="J1" s="3" t="s">
        <v>52</v>
      </c>
    </row>
    <row r="2" spans="1:15" x14ac:dyDescent="0.25">
      <c r="C2" s="9" t="s">
        <v>74</v>
      </c>
      <c r="E2" s="9" t="s">
        <v>74</v>
      </c>
      <c r="G2" s="9" t="s">
        <v>74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73</v>
      </c>
      <c r="M4" s="7"/>
    </row>
    <row r="5" spans="1:15" x14ac:dyDescent="0.25">
      <c r="A5" t="s">
        <v>27</v>
      </c>
      <c r="C5" s="2">
        <f>290.51+469.62+407.34</f>
        <v>1167.47</v>
      </c>
      <c r="E5" s="2">
        <v>0</v>
      </c>
      <c r="G5" s="6">
        <f>C5-E5</f>
        <v>1167.47</v>
      </c>
      <c r="H5" s="6"/>
      <c r="I5" s="2">
        <f>'March 2012'!I5+C5</f>
        <v>41330.26</v>
      </c>
      <c r="K5" s="2">
        <f>46000/3*3</f>
        <v>46000</v>
      </c>
      <c r="M5" s="6">
        <f>I5-K5</f>
        <v>-4669.739999999998</v>
      </c>
      <c r="O5" s="2">
        <v>46000</v>
      </c>
    </row>
    <row r="6" spans="1:15" x14ac:dyDescent="0.25">
      <c r="A6" t="s">
        <v>30</v>
      </c>
      <c r="C6" s="2">
        <v>540.91999999999996</v>
      </c>
      <c r="E6" s="2">
        <f>6500/12</f>
        <v>541.66666666666663</v>
      </c>
      <c r="G6" s="6">
        <f t="shared" ref="G6:G10" si="0">C6-E6</f>
        <v>-0.7466666666666697</v>
      </c>
      <c r="H6" s="6"/>
      <c r="I6" s="2">
        <f>'March 2012'!I6+C6</f>
        <v>6371.130000000001</v>
      </c>
      <c r="K6" s="2">
        <f>E6*10</f>
        <v>5416.6666666666661</v>
      </c>
      <c r="M6" s="6">
        <f t="shared" ref="M6:M12" si="1">I6-K6</f>
        <v>954.46333333333496</v>
      </c>
      <c r="O6" s="2">
        <v>6500</v>
      </c>
    </row>
    <row r="7" spans="1:15" x14ac:dyDescent="0.25">
      <c r="A7" t="s">
        <v>28</v>
      </c>
      <c r="C7" s="2">
        <f>37.19+1.52+22.5</f>
        <v>61.21</v>
      </c>
      <c r="E7" s="2">
        <f>900/12</f>
        <v>75</v>
      </c>
      <c r="G7" s="6">
        <f t="shared" si="0"/>
        <v>-13.79</v>
      </c>
      <c r="H7" s="6"/>
      <c r="I7" s="2">
        <f>'March 2012'!I7+C7</f>
        <v>1073.94</v>
      </c>
      <c r="K7" s="2">
        <f t="shared" ref="K7:K9" si="2">E7*10</f>
        <v>750</v>
      </c>
      <c r="M7" s="6">
        <f t="shared" si="1"/>
        <v>323.94000000000005</v>
      </c>
      <c r="O7" s="2">
        <v>900</v>
      </c>
    </row>
    <row r="8" spans="1:15" x14ac:dyDescent="0.25">
      <c r="A8" t="s">
        <v>26</v>
      </c>
      <c r="C8" s="2">
        <f>135.94+584.92</f>
        <v>720.8599999999999</v>
      </c>
      <c r="E8" s="2">
        <f>23500/4/3</f>
        <v>1958.3333333333333</v>
      </c>
      <c r="G8" s="6">
        <f t="shared" si="0"/>
        <v>-1237.4733333333334</v>
      </c>
      <c r="H8" s="6"/>
      <c r="I8" s="2">
        <f>'March 2012'!I8+C8</f>
        <v>22218.320000000003</v>
      </c>
      <c r="K8" s="2">
        <f t="shared" si="2"/>
        <v>19583.333333333332</v>
      </c>
      <c r="M8" s="6">
        <f t="shared" si="1"/>
        <v>2634.9866666666712</v>
      </c>
      <c r="O8" s="2">
        <v>23500</v>
      </c>
    </row>
    <row r="9" spans="1:15" x14ac:dyDescent="0.25">
      <c r="A9" t="s">
        <v>0</v>
      </c>
      <c r="C9" s="2">
        <v>271.55</v>
      </c>
      <c r="E9" s="2">
        <f>3600/12</f>
        <v>300</v>
      </c>
      <c r="G9" s="6">
        <f t="shared" si="0"/>
        <v>-28.449999999999989</v>
      </c>
      <c r="H9" s="6"/>
      <c r="I9" s="2">
        <f>'March 2012'!I9+C9</f>
        <v>2758.6100000000006</v>
      </c>
      <c r="K9" s="2">
        <f t="shared" si="2"/>
        <v>3000</v>
      </c>
      <c r="M9" s="6">
        <f t="shared" si="1"/>
        <v>-241.38999999999942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'March 2012'!I10+C10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76</v>
      </c>
      <c r="C12" s="2">
        <f>SUM(C5:C11)</f>
        <v>2762.01</v>
      </c>
      <c r="E12" s="2">
        <f>SUM(E5:E11)</f>
        <v>5875</v>
      </c>
      <c r="G12" s="2">
        <f>SUM(G5:G11)</f>
        <v>-3112.99</v>
      </c>
      <c r="H12" s="2"/>
      <c r="I12" s="2">
        <f>SUM(I5:I11)</f>
        <v>73752.260000000009</v>
      </c>
      <c r="K12" s="2">
        <f>SUM(K5:K11)</f>
        <v>77750</v>
      </c>
      <c r="M12" s="6">
        <f t="shared" si="1"/>
        <v>-3997.7399999999907</v>
      </c>
      <c r="O12" s="2">
        <f>SUM(O5:O11)</f>
        <v>83500</v>
      </c>
    </row>
    <row r="15" spans="1:15" x14ac:dyDescent="0.25">
      <c r="A15" s="1" t="s">
        <v>77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'March 2012'!I17+C17</f>
        <v>2725</v>
      </c>
      <c r="K17" s="2">
        <f>E17*10</f>
        <v>3000</v>
      </c>
      <c r="M17" s="6">
        <f t="shared" ref="M17:M32" si="4">I17-K17</f>
        <v>-275</v>
      </c>
      <c r="O17" s="2">
        <v>3600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'March 2012'!I18+C18</f>
        <v>6675</v>
      </c>
      <c r="K18" s="2">
        <f>9600/4*3</f>
        <v>7200</v>
      </c>
      <c r="M18" s="6">
        <f t="shared" si="4"/>
        <v>-525</v>
      </c>
      <c r="O18" s="2">
        <v>9600</v>
      </c>
    </row>
    <row r="19" spans="1:15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'March 2012'!I19+C19</f>
        <v>3500</v>
      </c>
      <c r="K19" s="2">
        <v>4500</v>
      </c>
      <c r="M19" s="6">
        <f t="shared" si="4"/>
        <v>-1000</v>
      </c>
      <c r="O19" s="2">
        <v>4500</v>
      </c>
    </row>
    <row r="20" spans="1:15" x14ac:dyDescent="0.25">
      <c r="A20" t="s">
        <v>6</v>
      </c>
      <c r="C20" s="2">
        <v>370.56</v>
      </c>
      <c r="E20" s="2">
        <f>4200/12</f>
        <v>350</v>
      </c>
      <c r="G20" s="6">
        <f t="shared" si="3"/>
        <v>20.560000000000002</v>
      </c>
      <c r="H20" s="6"/>
      <c r="I20" s="2">
        <f>'March 2012'!I20+C20</f>
        <v>3680.19</v>
      </c>
      <c r="K20" s="2">
        <f>E20*10</f>
        <v>3500</v>
      </c>
      <c r="M20" s="6">
        <f t="shared" si="4"/>
        <v>180.19000000000005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'March 2012'!I21+C21</f>
        <v>27675</v>
      </c>
      <c r="K21" s="2">
        <f>E21*10</f>
        <v>27675</v>
      </c>
      <c r="M21" s="6">
        <f t="shared" si="4"/>
        <v>0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'March 2012'!I22+C22</f>
        <v>3740.8</v>
      </c>
      <c r="K22" s="2">
        <v>3600</v>
      </c>
      <c r="M22" s="6">
        <f t="shared" si="4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'March 2012'!I23+C23</f>
        <v>568</v>
      </c>
      <c r="K23" s="2">
        <v>600</v>
      </c>
      <c r="M23" s="6">
        <f t="shared" si="4"/>
        <v>-32</v>
      </c>
      <c r="O23" s="2">
        <v>600</v>
      </c>
    </row>
    <row r="24" spans="1:15" x14ac:dyDescent="0.25">
      <c r="A24" t="s">
        <v>10</v>
      </c>
      <c r="C24" s="2">
        <v>0</v>
      </c>
      <c r="E24" s="2">
        <v>0</v>
      </c>
      <c r="G24" s="6">
        <f t="shared" si="3"/>
        <v>0</v>
      </c>
      <c r="H24" s="6"/>
      <c r="I24" s="2">
        <f>'March 2012'!I24+C24</f>
        <v>335</v>
      </c>
      <c r="K24" s="2">
        <v>350</v>
      </c>
      <c r="M24" s="6">
        <f t="shared" si="4"/>
        <v>-15</v>
      </c>
      <c r="O24" s="2">
        <v>350</v>
      </c>
    </row>
    <row r="25" spans="1:15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'March 2012'!I25+C25</f>
        <v>6400.5</v>
      </c>
      <c r="K25" s="2">
        <v>1500</v>
      </c>
      <c r="M25" s="6">
        <f t="shared" si="4"/>
        <v>4900.5</v>
      </c>
      <c r="O25" s="2">
        <v>1500</v>
      </c>
    </row>
    <row r="26" spans="1:15" x14ac:dyDescent="0.25">
      <c r="A26" t="s">
        <v>12</v>
      </c>
      <c r="C26" s="2">
        <v>0</v>
      </c>
      <c r="E26" s="2">
        <v>0</v>
      </c>
      <c r="G26" s="6">
        <f t="shared" si="3"/>
        <v>0</v>
      </c>
      <c r="H26" s="6"/>
      <c r="I26" s="2">
        <f>'March 2012'!I26+C26</f>
        <v>911</v>
      </c>
      <c r="K26" s="2">
        <f>7000/4</f>
        <v>1750</v>
      </c>
      <c r="M26" s="6">
        <f t="shared" si="4"/>
        <v>-839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3"/>
        <v>0</v>
      </c>
      <c r="H27" s="6"/>
      <c r="I27" s="2">
        <f>'March 2012'!I27+C27</f>
        <v>50</v>
      </c>
      <c r="K27" s="2">
        <v>2000</v>
      </c>
      <c r="M27" s="6">
        <f t="shared" si="4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3"/>
        <v>-50</v>
      </c>
      <c r="H28" s="6"/>
      <c r="I28" s="2">
        <f>'March 2012'!I28+C28</f>
        <v>114</v>
      </c>
      <c r="K28" s="2">
        <f>E28*10</f>
        <v>500</v>
      </c>
      <c r="M28" s="6">
        <f t="shared" si="4"/>
        <v>-386</v>
      </c>
      <c r="O28" s="2">
        <v>600</v>
      </c>
    </row>
    <row r="29" spans="1:15" x14ac:dyDescent="0.25">
      <c r="A29" t="s">
        <v>15</v>
      </c>
      <c r="C29" s="2">
        <v>50</v>
      </c>
      <c r="E29" s="2">
        <f>2500/12</f>
        <v>208.33333333333334</v>
      </c>
      <c r="G29" s="6">
        <f t="shared" si="3"/>
        <v>-158.33333333333334</v>
      </c>
      <c r="H29" s="6"/>
      <c r="I29" s="2">
        <f>'March 2012'!I29+C29</f>
        <v>1366.24</v>
      </c>
      <c r="K29" s="2">
        <f>E29*10</f>
        <v>2083.3333333333335</v>
      </c>
      <c r="M29" s="6">
        <f t="shared" si="4"/>
        <v>-717.09333333333348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3"/>
        <v>-250</v>
      </c>
      <c r="H30" s="6"/>
      <c r="I30" s="2">
        <f>'March 2012'!I30+C30</f>
        <v>1150</v>
      </c>
      <c r="K30" s="2">
        <v>3000</v>
      </c>
      <c r="M30" s="6">
        <f t="shared" si="4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3"/>
        <v>-125</v>
      </c>
      <c r="H31" s="6"/>
      <c r="I31" s="2">
        <f>'March 2012'!I31+C31</f>
        <v>0</v>
      </c>
      <c r="K31" s="2">
        <v>1500</v>
      </c>
      <c r="M31" s="6">
        <f t="shared" si="4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3"/>
        <v>0</v>
      </c>
      <c r="H32" s="6"/>
      <c r="I32" s="2">
        <f>'March 2012'!I32+C32</f>
        <v>1793.53</v>
      </c>
      <c r="K32" s="2">
        <v>1750</v>
      </c>
      <c r="M32" s="6">
        <f t="shared" si="4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78</v>
      </c>
      <c r="C34" s="2">
        <f>SUM(C17:C33)</f>
        <v>3488.06</v>
      </c>
      <c r="E34" s="2">
        <f>SUM(E17:E33)</f>
        <v>4175.8333333333339</v>
      </c>
      <c r="G34" s="2">
        <f>SUM(G17:G33)</f>
        <v>-687.77333333333331</v>
      </c>
      <c r="H34" s="2"/>
      <c r="I34" s="2">
        <f>SUM(I17:I33)</f>
        <v>60684.26</v>
      </c>
      <c r="K34" s="2">
        <f>SUM(K17:K33)</f>
        <v>64508.333333333336</v>
      </c>
      <c r="M34" s="2">
        <f>SUM(M17:M33)</f>
        <v>-3824.0733333333337</v>
      </c>
      <c r="O34" s="2">
        <f>SUM(O17:O33)</f>
        <v>79510</v>
      </c>
    </row>
    <row r="35" spans="1:15" x14ac:dyDescent="0.25">
      <c r="A35" t="s">
        <v>69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79</v>
      </c>
      <c r="C39" s="2">
        <f>C12</f>
        <v>2762.01</v>
      </c>
      <c r="E39" s="2">
        <f>E12</f>
        <v>5875</v>
      </c>
      <c r="G39" s="2">
        <f>G12</f>
        <v>-3112.99</v>
      </c>
      <c r="H39" s="2"/>
      <c r="I39" s="2">
        <f>I12</f>
        <v>73752.260000000009</v>
      </c>
      <c r="K39" s="2">
        <f>K12</f>
        <v>77750</v>
      </c>
      <c r="M39" s="2">
        <f>M12</f>
        <v>-3997.7399999999907</v>
      </c>
    </row>
    <row r="40" spans="1:15" x14ac:dyDescent="0.25">
      <c r="A40" s="1" t="s">
        <v>80</v>
      </c>
      <c r="C40" s="2">
        <f>-C34</f>
        <v>-3488.06</v>
      </c>
      <c r="E40" s="2">
        <f>-E34</f>
        <v>-4175.8333333333339</v>
      </c>
      <c r="G40" s="2">
        <f>-G34</f>
        <v>687.77333333333331</v>
      </c>
      <c r="H40" s="2"/>
      <c r="I40" s="2">
        <f>-I34</f>
        <v>-60684.26</v>
      </c>
      <c r="K40" s="2">
        <f>-K34</f>
        <v>-64508.333333333336</v>
      </c>
      <c r="M40" s="2">
        <f>-M34</f>
        <v>3824.0733333333337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-726.04999999999973</v>
      </c>
      <c r="E42" s="2">
        <f>SUM(E39:E40)</f>
        <v>1699.1666666666661</v>
      </c>
      <c r="G42" s="2">
        <f>SUM(G39:G40)</f>
        <v>-2425.2166666666662</v>
      </c>
      <c r="H42" s="2"/>
      <c r="I42" s="2">
        <f>SUM(I39:I40)</f>
        <v>13068.000000000007</v>
      </c>
      <c r="K42" s="2">
        <f>SUM(K39:K40)</f>
        <v>13241.666666666664</v>
      </c>
      <c r="M42" s="2">
        <f>SUM(M39:M40)</f>
        <v>-173.66666666665697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10" workbookViewId="0">
      <selection activeCell="C29" sqref="C29"/>
    </sheetView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81</v>
      </c>
      <c r="E1" s="3"/>
      <c r="I1" s="3"/>
      <c r="J1" s="3" t="s">
        <v>52</v>
      </c>
    </row>
    <row r="2" spans="1:15" x14ac:dyDescent="0.25">
      <c r="C2" s="9" t="s">
        <v>82</v>
      </c>
      <c r="E2" s="9" t="s">
        <v>82</v>
      </c>
      <c r="G2" s="9" t="s">
        <v>82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83</v>
      </c>
      <c r="M4" s="7"/>
    </row>
    <row r="5" spans="1:15" x14ac:dyDescent="0.25">
      <c r="A5" t="s">
        <v>27</v>
      </c>
      <c r="C5" s="2">
        <v>0</v>
      </c>
      <c r="E5" s="2">
        <v>0</v>
      </c>
      <c r="G5" s="6">
        <f>C5-E5</f>
        <v>0</v>
      </c>
      <c r="H5" s="6"/>
      <c r="I5" s="2">
        <f>'April 2012'!I5+C5</f>
        <v>41330.26</v>
      </c>
      <c r="K5" s="2">
        <f>46000/3*3</f>
        <v>46000</v>
      </c>
      <c r="M5" s="6">
        <f>I5-K5</f>
        <v>-4669.739999999998</v>
      </c>
      <c r="O5" s="2">
        <v>46000</v>
      </c>
    </row>
    <row r="6" spans="1:15" x14ac:dyDescent="0.25">
      <c r="A6" t="s">
        <v>30</v>
      </c>
      <c r="C6" s="2">
        <v>605.59</v>
      </c>
      <c r="E6" s="2">
        <f>6500/12</f>
        <v>541.66666666666663</v>
      </c>
      <c r="G6" s="6">
        <f t="shared" ref="G6:G10" si="0">C6-E6</f>
        <v>63.923333333333403</v>
      </c>
      <c r="H6" s="6"/>
      <c r="I6" s="2">
        <f>'April 2012'!I6+C6</f>
        <v>6976.7200000000012</v>
      </c>
      <c r="K6" s="2">
        <f>E6*11</f>
        <v>5958.333333333333</v>
      </c>
      <c r="M6" s="6">
        <f t="shared" ref="M6:M12" si="1">I6-K6</f>
        <v>1018.3866666666681</v>
      </c>
      <c r="O6" s="2">
        <v>6500</v>
      </c>
    </row>
    <row r="7" spans="1:15" x14ac:dyDescent="0.25">
      <c r="A7" t="s">
        <v>28</v>
      </c>
      <c r="C7" s="2">
        <f>1.64+25.6+23.27</f>
        <v>50.510000000000005</v>
      </c>
      <c r="E7" s="2">
        <f>900/12</f>
        <v>75</v>
      </c>
      <c r="G7" s="6">
        <f t="shared" si="0"/>
        <v>-24.489999999999995</v>
      </c>
      <c r="H7" s="6"/>
      <c r="I7" s="2">
        <f>'April 2012'!I7+C7</f>
        <v>1124.45</v>
      </c>
      <c r="K7" s="2">
        <f t="shared" ref="K7:K9" si="2">E7*11</f>
        <v>825</v>
      </c>
      <c r="M7" s="6">
        <f t="shared" si="1"/>
        <v>299.45000000000005</v>
      </c>
      <c r="O7" s="2">
        <v>900</v>
      </c>
    </row>
    <row r="8" spans="1:15" x14ac:dyDescent="0.25">
      <c r="A8" t="s">
        <v>26</v>
      </c>
      <c r="C8" s="2">
        <f>1753.66+3911.67</f>
        <v>5665.33</v>
      </c>
      <c r="E8" s="2">
        <f>23500/4/3</f>
        <v>1958.3333333333333</v>
      </c>
      <c r="G8" s="6">
        <f t="shared" si="0"/>
        <v>3706.9966666666669</v>
      </c>
      <c r="H8" s="6"/>
      <c r="I8" s="2">
        <f>'April 2012'!I8+C8</f>
        <v>27883.65</v>
      </c>
      <c r="K8" s="2">
        <f t="shared" si="2"/>
        <v>21541.666666666664</v>
      </c>
      <c r="M8" s="6">
        <f t="shared" si="1"/>
        <v>6341.9833333333372</v>
      </c>
      <c r="O8" s="2">
        <v>23500</v>
      </c>
    </row>
    <row r="9" spans="1:15" x14ac:dyDescent="0.25">
      <c r="A9" t="s">
        <v>0</v>
      </c>
      <c r="C9" s="2">
        <v>271.55</v>
      </c>
      <c r="E9" s="2">
        <f>3600/12</f>
        <v>300</v>
      </c>
      <c r="G9" s="6">
        <f t="shared" si="0"/>
        <v>-28.449999999999989</v>
      </c>
      <c r="H9" s="6"/>
      <c r="I9" s="2">
        <f>'April 2012'!I9+C9</f>
        <v>3030.1600000000008</v>
      </c>
      <c r="K9" s="2">
        <f t="shared" si="2"/>
        <v>3300</v>
      </c>
      <c r="M9" s="6">
        <f t="shared" si="1"/>
        <v>-269.83999999999924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'April 2012'!I10+C10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84</v>
      </c>
      <c r="C12" s="2">
        <f>SUM(C5:C11)</f>
        <v>6592.9800000000005</v>
      </c>
      <c r="E12" s="2">
        <f>SUM(E5:E11)</f>
        <v>5875</v>
      </c>
      <c r="G12" s="2">
        <f>SUM(G5:G11)</f>
        <v>717.98000000000047</v>
      </c>
      <c r="H12" s="2"/>
      <c r="I12" s="2">
        <f>SUM(I5:I11)</f>
        <v>80345.240000000005</v>
      </c>
      <c r="K12" s="2">
        <f>SUM(K5:K11)</f>
        <v>80625</v>
      </c>
      <c r="M12" s="6">
        <f t="shared" si="1"/>
        <v>-279.75999999999476</v>
      </c>
      <c r="O12" s="2">
        <f>SUM(O5:O11)</f>
        <v>83500</v>
      </c>
    </row>
    <row r="15" spans="1:15" x14ac:dyDescent="0.25">
      <c r="A15" s="1" t="s">
        <v>85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'April 2012'!I17+C17</f>
        <v>3025</v>
      </c>
      <c r="K17" s="2">
        <f>E17*11</f>
        <v>3300</v>
      </c>
      <c r="M17" s="6">
        <f t="shared" ref="M17:M32" si="4">I17-K17</f>
        <v>-275</v>
      </c>
      <c r="O17" s="2">
        <v>3600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3"/>
        <v>0</v>
      </c>
      <c r="H18" s="6"/>
      <c r="I18" s="2">
        <f>'April 2012'!I18+C18</f>
        <v>6675</v>
      </c>
      <c r="K18" s="2">
        <f>9600/4*3</f>
        <v>7200</v>
      </c>
      <c r="M18" s="6">
        <f t="shared" si="4"/>
        <v>-525</v>
      </c>
      <c r="O18" s="2">
        <v>9600</v>
      </c>
    </row>
    <row r="19" spans="1:15" x14ac:dyDescent="0.25">
      <c r="A19" t="s">
        <v>5</v>
      </c>
      <c r="C19" s="2">
        <v>0</v>
      </c>
      <c r="E19" s="2">
        <v>0</v>
      </c>
      <c r="G19" s="6">
        <f t="shared" si="3"/>
        <v>0</v>
      </c>
      <c r="H19" s="6"/>
      <c r="I19" s="2">
        <f>'April 2012'!I19+C19</f>
        <v>3500</v>
      </c>
      <c r="K19" s="2">
        <v>4500</v>
      </c>
      <c r="M19" s="6">
        <f t="shared" si="4"/>
        <v>-1000</v>
      </c>
      <c r="O19" s="2">
        <v>4500</v>
      </c>
    </row>
    <row r="20" spans="1:15" x14ac:dyDescent="0.25">
      <c r="A20" t="s">
        <v>6</v>
      </c>
      <c r="C20" s="2">
        <v>370.39</v>
      </c>
      <c r="E20" s="2">
        <f>4200/12</f>
        <v>350</v>
      </c>
      <c r="G20" s="6">
        <f t="shared" si="3"/>
        <v>20.389999999999986</v>
      </c>
      <c r="H20" s="6"/>
      <c r="I20" s="2">
        <f>'April 2012'!I20+C20</f>
        <v>4050.58</v>
      </c>
      <c r="K20" s="2">
        <f>E20*11</f>
        <v>3850</v>
      </c>
      <c r="M20" s="6">
        <f t="shared" si="4"/>
        <v>200.57999999999993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'April 2012'!I21+C21</f>
        <v>30442.5</v>
      </c>
      <c r="K21" s="2">
        <f>E21*11</f>
        <v>30442.5</v>
      </c>
      <c r="M21" s="6">
        <f t="shared" si="4"/>
        <v>0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'April 2012'!I22+C22</f>
        <v>3740.8</v>
      </c>
      <c r="K22" s="2">
        <v>3600</v>
      </c>
      <c r="M22" s="6">
        <f t="shared" si="4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'April 2012'!I23+C23</f>
        <v>568</v>
      </c>
      <c r="K23" s="2">
        <v>600</v>
      </c>
      <c r="M23" s="6">
        <f t="shared" si="4"/>
        <v>-32</v>
      </c>
      <c r="O23" s="2">
        <v>600</v>
      </c>
    </row>
    <row r="24" spans="1:15" x14ac:dyDescent="0.25">
      <c r="A24" t="s">
        <v>10</v>
      </c>
      <c r="C24" s="2">
        <v>0</v>
      </c>
      <c r="E24" s="2">
        <v>0</v>
      </c>
      <c r="G24" s="6">
        <f t="shared" si="3"/>
        <v>0</v>
      </c>
      <c r="H24" s="6"/>
      <c r="I24" s="2">
        <f>'April 2012'!I24+C24</f>
        <v>335</v>
      </c>
      <c r="K24" s="2">
        <v>350</v>
      </c>
      <c r="M24" s="6">
        <f t="shared" si="4"/>
        <v>-15</v>
      </c>
      <c r="O24" s="2">
        <v>350</v>
      </c>
    </row>
    <row r="25" spans="1:15" x14ac:dyDescent="0.25">
      <c r="A25" t="s">
        <v>11</v>
      </c>
      <c r="C25" s="2">
        <v>0</v>
      </c>
      <c r="E25" s="2">
        <f>1500/12</f>
        <v>125</v>
      </c>
      <c r="G25" s="6">
        <f t="shared" si="3"/>
        <v>-125</v>
      </c>
      <c r="H25" s="6"/>
      <c r="I25" s="2">
        <f>'April 2012'!I25+C25</f>
        <v>6400.5</v>
      </c>
      <c r="K25" s="2">
        <v>1500</v>
      </c>
      <c r="M25" s="6">
        <f t="shared" si="4"/>
        <v>4900.5</v>
      </c>
      <c r="O25" s="2">
        <v>1500</v>
      </c>
    </row>
    <row r="26" spans="1:15" x14ac:dyDescent="0.25">
      <c r="A26" t="s">
        <v>12</v>
      </c>
      <c r="C26" s="2">
        <v>0</v>
      </c>
      <c r="E26" s="2">
        <v>0</v>
      </c>
      <c r="G26" s="6">
        <f t="shared" si="3"/>
        <v>0</v>
      </c>
      <c r="H26" s="6"/>
      <c r="I26" s="2">
        <f>'April 2012'!I26+C26</f>
        <v>911</v>
      </c>
      <c r="K26" s="2">
        <f>7000/4</f>
        <v>1750</v>
      </c>
      <c r="M26" s="6">
        <f t="shared" si="4"/>
        <v>-839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3"/>
        <v>0</v>
      </c>
      <c r="H27" s="6"/>
      <c r="I27" s="2">
        <f>'April 2012'!I27+C27</f>
        <v>50</v>
      </c>
      <c r="K27" s="2">
        <v>2000</v>
      </c>
      <c r="M27" s="6">
        <f t="shared" si="4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3"/>
        <v>-50</v>
      </c>
      <c r="H28" s="6"/>
      <c r="I28" s="2">
        <f>'April 2012'!I28+C28</f>
        <v>114</v>
      </c>
      <c r="K28" s="2">
        <f>E28*11</f>
        <v>550</v>
      </c>
      <c r="M28" s="6">
        <f t="shared" si="4"/>
        <v>-436</v>
      </c>
      <c r="O28" s="2">
        <v>600</v>
      </c>
    </row>
    <row r="29" spans="1:15" x14ac:dyDescent="0.25">
      <c r="A29" t="s">
        <v>15</v>
      </c>
      <c r="C29" s="2">
        <f>85+100+100+35+31.91+50</f>
        <v>401.91</v>
      </c>
      <c r="E29" s="2">
        <f>2500/12</f>
        <v>208.33333333333334</v>
      </c>
      <c r="G29" s="6">
        <f t="shared" si="3"/>
        <v>193.57666666666668</v>
      </c>
      <c r="H29" s="6"/>
      <c r="I29" s="2">
        <f>'April 2012'!I29+C29</f>
        <v>1768.15</v>
      </c>
      <c r="K29" s="12">
        <f>E29*11</f>
        <v>2291.666666666667</v>
      </c>
      <c r="M29" s="6">
        <f t="shared" si="4"/>
        <v>-523.51666666666688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3"/>
        <v>-250</v>
      </c>
      <c r="H30" s="6"/>
      <c r="I30" s="2">
        <f>'April 2012'!I30+C30</f>
        <v>1150</v>
      </c>
      <c r="K30" s="2">
        <v>3000</v>
      </c>
      <c r="M30" s="6">
        <f t="shared" si="4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3"/>
        <v>-125</v>
      </c>
      <c r="H31" s="6"/>
      <c r="I31" s="2">
        <f>'April 2012'!I31+C31</f>
        <v>0</v>
      </c>
      <c r="K31" s="2">
        <v>1500</v>
      </c>
      <c r="M31" s="6">
        <f t="shared" si="4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3"/>
        <v>0</v>
      </c>
      <c r="H32" s="6"/>
      <c r="I32" s="2">
        <f>'April 2012'!I32+C32</f>
        <v>1793.53</v>
      </c>
      <c r="K32" s="2">
        <v>1750</v>
      </c>
      <c r="M32" s="6">
        <f t="shared" si="4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86</v>
      </c>
      <c r="C34" s="2">
        <f>SUM(C17:C33)</f>
        <v>3839.7999999999997</v>
      </c>
      <c r="E34" s="2">
        <f>SUM(E17:E33)</f>
        <v>4175.8333333333339</v>
      </c>
      <c r="G34" s="2">
        <f>SUM(G17:G33)</f>
        <v>-336.0333333333333</v>
      </c>
      <c r="H34" s="2"/>
      <c r="I34" s="2">
        <f>SUM(I17:I33)</f>
        <v>64524.060000000005</v>
      </c>
      <c r="K34" s="2">
        <f>SUM(K17:K33)</f>
        <v>68184.166666666657</v>
      </c>
      <c r="M34" s="2">
        <f>SUM(M17:M33)</f>
        <v>-3660.1066666666666</v>
      </c>
      <c r="O34" s="2">
        <f>SUM(O17:O33)</f>
        <v>79510</v>
      </c>
    </row>
    <row r="35" spans="1:15" x14ac:dyDescent="0.25">
      <c r="A35" t="s">
        <v>69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87</v>
      </c>
      <c r="C39" s="2">
        <f>C12</f>
        <v>6592.9800000000005</v>
      </c>
      <c r="E39" s="2">
        <f>E12</f>
        <v>5875</v>
      </c>
      <c r="G39" s="2">
        <f>G12</f>
        <v>717.98000000000047</v>
      </c>
      <c r="H39" s="2"/>
      <c r="I39" s="2">
        <f>I12</f>
        <v>80345.240000000005</v>
      </c>
      <c r="K39" s="2">
        <f>K12</f>
        <v>80625</v>
      </c>
      <c r="M39" s="2">
        <f>M12</f>
        <v>-279.75999999999476</v>
      </c>
    </row>
    <row r="40" spans="1:15" x14ac:dyDescent="0.25">
      <c r="A40" s="1" t="s">
        <v>88</v>
      </c>
      <c r="C40" s="2">
        <f>-C34</f>
        <v>-3839.7999999999997</v>
      </c>
      <c r="E40" s="2">
        <f>-E34</f>
        <v>-4175.8333333333339</v>
      </c>
      <c r="G40" s="2">
        <f>-G34</f>
        <v>336.0333333333333</v>
      </c>
      <c r="H40" s="2"/>
      <c r="I40" s="2">
        <f>-I34</f>
        <v>-64524.060000000005</v>
      </c>
      <c r="K40" s="2">
        <f>-K34</f>
        <v>-68184.166666666657</v>
      </c>
      <c r="M40" s="2">
        <f>-M34</f>
        <v>3660.1066666666666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2753.1800000000007</v>
      </c>
      <c r="E42" s="2">
        <f>SUM(E39:E40)</f>
        <v>1699.1666666666661</v>
      </c>
      <c r="G42" s="2">
        <f>SUM(G39:G40)</f>
        <v>1054.0133333333338</v>
      </c>
      <c r="H42" s="2"/>
      <c r="I42" s="2">
        <f>SUM(I39:I40)</f>
        <v>15821.18</v>
      </c>
      <c r="K42" s="2">
        <f>SUM(K39:K40)</f>
        <v>12440.833333333343</v>
      </c>
      <c r="M42" s="2">
        <f>SUM(M39:M40)</f>
        <v>3380.3466666666718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scale="72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/>
  </sheetViews>
  <sheetFormatPr defaultRowHeight="15" x14ac:dyDescent="0.25"/>
  <cols>
    <col min="2" max="2" width="20" customWidth="1"/>
    <col min="3" max="3" width="12.5703125" style="2" bestFit="1" customWidth="1"/>
    <col min="4" max="4" width="8.85546875" customWidth="1"/>
    <col min="5" max="5" width="12.85546875" style="2" customWidth="1"/>
    <col min="7" max="9" width="10.7109375" customWidth="1"/>
    <col min="11" max="11" width="13.140625" style="2" customWidth="1"/>
    <col min="13" max="13" width="11.5703125" customWidth="1"/>
    <col min="15" max="15" width="16.85546875" style="2" customWidth="1"/>
  </cols>
  <sheetData>
    <row r="1" spans="1:15" x14ac:dyDescent="0.25">
      <c r="D1" s="3" t="s">
        <v>89</v>
      </c>
      <c r="E1" s="3"/>
      <c r="I1" s="3"/>
      <c r="J1" s="3" t="s">
        <v>52</v>
      </c>
    </row>
    <row r="2" spans="1:15" x14ac:dyDescent="0.25">
      <c r="C2" s="9" t="s">
        <v>90</v>
      </c>
      <c r="E2" s="9" t="s">
        <v>90</v>
      </c>
      <c r="G2" s="9" t="s">
        <v>90</v>
      </c>
      <c r="I2" s="8" t="s">
        <v>50</v>
      </c>
      <c r="K2" s="10" t="s">
        <v>50</v>
      </c>
      <c r="M2" s="5" t="s">
        <v>50</v>
      </c>
      <c r="O2" s="11" t="s">
        <v>57</v>
      </c>
    </row>
    <row r="3" spans="1:15" x14ac:dyDescent="0.25">
      <c r="C3" s="4" t="s">
        <v>19</v>
      </c>
      <c r="E3" s="4" t="s">
        <v>20</v>
      </c>
      <c r="G3" s="4" t="s">
        <v>21</v>
      </c>
      <c r="H3" s="5"/>
      <c r="I3" s="4" t="s">
        <v>19</v>
      </c>
      <c r="K3" s="4" t="s">
        <v>20</v>
      </c>
      <c r="M3" s="4" t="s">
        <v>21</v>
      </c>
    </row>
    <row r="4" spans="1:15" x14ac:dyDescent="0.25">
      <c r="A4" s="1" t="s">
        <v>91</v>
      </c>
      <c r="M4" s="7"/>
    </row>
    <row r="5" spans="1:15" x14ac:dyDescent="0.25">
      <c r="A5" t="s">
        <v>27</v>
      </c>
      <c r="C5" s="2">
        <v>381.89</v>
      </c>
      <c r="E5" s="2">
        <v>0</v>
      </c>
      <c r="G5" s="6">
        <f>C5-E5</f>
        <v>381.89</v>
      </c>
      <c r="H5" s="6"/>
      <c r="I5" s="2">
        <f>'May 2012'!I5+C5</f>
        <v>41712.15</v>
      </c>
      <c r="K5" s="2">
        <f>46000/3*3</f>
        <v>46000</v>
      </c>
      <c r="M5" s="6">
        <f>I5-K5</f>
        <v>-4287.8499999999985</v>
      </c>
      <c r="O5" s="2">
        <v>46000</v>
      </c>
    </row>
    <row r="6" spans="1:15" x14ac:dyDescent="0.25">
      <c r="A6" t="s">
        <v>30</v>
      </c>
      <c r="C6" s="2">
        <v>0</v>
      </c>
      <c r="E6" s="2">
        <f>6500/12</f>
        <v>541.66666666666663</v>
      </c>
      <c r="G6" s="6">
        <f t="shared" ref="G6:G10" si="0">C6-E6</f>
        <v>-541.66666666666663</v>
      </c>
      <c r="H6" s="6"/>
      <c r="I6" s="2">
        <f>'May 2012'!I6+C6</f>
        <v>6976.7200000000012</v>
      </c>
      <c r="K6" s="2">
        <f>E6*12</f>
        <v>6500</v>
      </c>
      <c r="M6" s="6">
        <f t="shared" ref="M6:M12" si="1">I6-K6</f>
        <v>476.72000000000116</v>
      </c>
      <c r="O6" s="2">
        <v>6500</v>
      </c>
    </row>
    <row r="7" spans="1:15" x14ac:dyDescent="0.25">
      <c r="A7" t="s">
        <v>28</v>
      </c>
      <c r="C7" s="2">
        <f>22.46+1.59+22.53</f>
        <v>46.58</v>
      </c>
      <c r="E7" s="2">
        <f>900/12</f>
        <v>75</v>
      </c>
      <c r="G7" s="6">
        <f t="shared" si="0"/>
        <v>-28.42</v>
      </c>
      <c r="H7" s="6"/>
      <c r="I7" s="2">
        <f>'May 2012'!I7+C7</f>
        <v>1171.03</v>
      </c>
      <c r="K7" s="2">
        <f t="shared" ref="K7:K9" si="2">E7*12</f>
        <v>900</v>
      </c>
      <c r="M7" s="6">
        <f t="shared" si="1"/>
        <v>271.02999999999997</v>
      </c>
      <c r="O7" s="2">
        <v>900</v>
      </c>
    </row>
    <row r="8" spans="1:15" x14ac:dyDescent="0.25">
      <c r="A8" t="s">
        <v>26</v>
      </c>
      <c r="C8" s="2">
        <v>0</v>
      </c>
      <c r="E8" s="2">
        <f>23500/4/3</f>
        <v>1958.3333333333333</v>
      </c>
      <c r="G8" s="6">
        <f t="shared" si="0"/>
        <v>-1958.3333333333333</v>
      </c>
      <c r="H8" s="6"/>
      <c r="I8" s="2">
        <f>'May 2012'!I8+C8</f>
        <v>27883.65</v>
      </c>
      <c r="K8" s="2">
        <f t="shared" si="2"/>
        <v>23500</v>
      </c>
      <c r="M8" s="6">
        <f t="shared" si="1"/>
        <v>4383.6500000000015</v>
      </c>
      <c r="O8" s="2">
        <v>23500</v>
      </c>
    </row>
    <row r="9" spans="1:15" x14ac:dyDescent="0.25">
      <c r="A9" t="s">
        <v>0</v>
      </c>
      <c r="C9" s="2">
        <v>271.55</v>
      </c>
      <c r="E9" s="2">
        <f>3600/12</f>
        <v>300</v>
      </c>
      <c r="G9" s="6">
        <f t="shared" si="0"/>
        <v>-28.449999999999989</v>
      </c>
      <c r="H9" s="6"/>
      <c r="I9" s="2">
        <f>'May 2012'!I9+C9</f>
        <v>3301.7100000000009</v>
      </c>
      <c r="K9" s="2">
        <f t="shared" si="2"/>
        <v>3600</v>
      </c>
      <c r="M9" s="6">
        <f t="shared" si="1"/>
        <v>-298.28999999999905</v>
      </c>
      <c r="O9" s="2">
        <v>3600</v>
      </c>
    </row>
    <row r="10" spans="1:15" x14ac:dyDescent="0.25">
      <c r="A10" t="s">
        <v>1</v>
      </c>
      <c r="C10" s="2">
        <v>0</v>
      </c>
      <c r="E10" s="2">
        <v>3000</v>
      </c>
      <c r="G10" s="6">
        <f t="shared" si="0"/>
        <v>-3000</v>
      </c>
      <c r="H10" s="6"/>
      <c r="I10" s="2">
        <f>'May 2012'!I10+C10</f>
        <v>0</v>
      </c>
      <c r="K10" s="2">
        <v>3000</v>
      </c>
      <c r="M10" s="6">
        <f t="shared" si="1"/>
        <v>-3000</v>
      </c>
      <c r="O10" s="2">
        <v>3000</v>
      </c>
    </row>
    <row r="11" spans="1:15" x14ac:dyDescent="0.25">
      <c r="G11" s="6"/>
      <c r="H11" s="6"/>
      <c r="I11" s="2"/>
    </row>
    <row r="12" spans="1:15" x14ac:dyDescent="0.25">
      <c r="A12" s="1" t="s">
        <v>92</v>
      </c>
      <c r="C12" s="2">
        <f>SUM(C5:C11)</f>
        <v>700.02</v>
      </c>
      <c r="E12" s="2">
        <f>SUM(E5:E11)</f>
        <v>5875</v>
      </c>
      <c r="G12" s="2">
        <f>SUM(G5:G11)</f>
        <v>-5174.9799999999996</v>
      </c>
      <c r="H12" s="2"/>
      <c r="I12" s="2">
        <f>SUM(I5:I11)</f>
        <v>81045.260000000009</v>
      </c>
      <c r="K12" s="2">
        <f>SUM(K5:K11)</f>
        <v>83500</v>
      </c>
      <c r="M12" s="6">
        <f t="shared" si="1"/>
        <v>-2454.7399999999907</v>
      </c>
      <c r="O12" s="2">
        <f>SUM(O5:O11)</f>
        <v>83500</v>
      </c>
    </row>
    <row r="15" spans="1:15" x14ac:dyDescent="0.25">
      <c r="A15" s="1" t="s">
        <v>93</v>
      </c>
    </row>
    <row r="16" spans="1:15" x14ac:dyDescent="0.25">
      <c r="A16" t="s">
        <v>3</v>
      </c>
    </row>
    <row r="17" spans="1:15" x14ac:dyDescent="0.25">
      <c r="A17" t="s">
        <v>4</v>
      </c>
      <c r="C17" s="2">
        <v>300</v>
      </c>
      <c r="E17" s="2">
        <f>3600/12</f>
        <v>300</v>
      </c>
      <c r="G17" s="6">
        <f t="shared" ref="G17:G32" si="3">C17-E17</f>
        <v>0</v>
      </c>
      <c r="H17" s="6"/>
      <c r="I17" s="2">
        <f>'May 2012'!I17+C17</f>
        <v>3325</v>
      </c>
      <c r="K17" s="2">
        <f>E17*12</f>
        <v>3600</v>
      </c>
      <c r="M17" s="6">
        <f t="shared" ref="M17:M32" si="4">I17-K17</f>
        <v>-275</v>
      </c>
      <c r="O17" s="2">
        <v>3600</v>
      </c>
    </row>
    <row r="18" spans="1:15" x14ac:dyDescent="0.25">
      <c r="A18" t="s">
        <v>29</v>
      </c>
      <c r="C18" s="2">
        <f>1500+225+225+225+150</f>
        <v>2325</v>
      </c>
      <c r="E18" s="2">
        <v>0</v>
      </c>
      <c r="G18" s="6">
        <f t="shared" si="3"/>
        <v>2325</v>
      </c>
      <c r="H18" s="6"/>
      <c r="I18" s="2">
        <f>'May 2012'!I18+C18</f>
        <v>9000</v>
      </c>
      <c r="K18" s="2">
        <f>9600/4*4</f>
        <v>9600</v>
      </c>
      <c r="M18" s="6">
        <f t="shared" si="4"/>
        <v>-600</v>
      </c>
      <c r="O18" s="2">
        <v>9600</v>
      </c>
    </row>
    <row r="19" spans="1:15" x14ac:dyDescent="0.25">
      <c r="A19" t="s">
        <v>5</v>
      </c>
      <c r="C19" s="2">
        <f>1500+812.5</f>
        <v>2312.5</v>
      </c>
      <c r="E19" s="2">
        <v>0</v>
      </c>
      <c r="G19" s="6">
        <f t="shared" si="3"/>
        <v>2312.5</v>
      </c>
      <c r="H19" s="6"/>
      <c r="I19" s="2">
        <f>'May 2012'!I19+C19</f>
        <v>5812.5</v>
      </c>
      <c r="K19" s="2">
        <v>4500</v>
      </c>
      <c r="M19" s="6">
        <f t="shared" si="4"/>
        <v>1312.5</v>
      </c>
      <c r="O19" s="2">
        <v>4500</v>
      </c>
    </row>
    <row r="20" spans="1:15" x14ac:dyDescent="0.25">
      <c r="A20" t="s">
        <v>6</v>
      </c>
      <c r="C20" s="2">
        <v>371.47</v>
      </c>
      <c r="E20" s="2">
        <f>4200/12</f>
        <v>350</v>
      </c>
      <c r="G20" s="6">
        <f t="shared" si="3"/>
        <v>21.470000000000027</v>
      </c>
      <c r="H20" s="6"/>
      <c r="I20" s="2">
        <f>'May 2012'!I20+C20</f>
        <v>4422.05</v>
      </c>
      <c r="K20" s="2">
        <f>E20*12</f>
        <v>4200</v>
      </c>
      <c r="M20" s="6">
        <f t="shared" si="4"/>
        <v>222.05000000000018</v>
      </c>
      <c r="O20" s="2">
        <v>4200</v>
      </c>
    </row>
    <row r="21" spans="1:15" x14ac:dyDescent="0.25">
      <c r="A21" t="s">
        <v>7</v>
      </c>
      <c r="C21" s="2">
        <v>2767.5</v>
      </c>
      <c r="E21" s="2">
        <f>33210/12</f>
        <v>2767.5</v>
      </c>
      <c r="G21" s="6">
        <f t="shared" si="3"/>
        <v>0</v>
      </c>
      <c r="H21" s="6"/>
      <c r="I21" s="2">
        <f>'May 2012'!I21+C21</f>
        <v>33210</v>
      </c>
      <c r="K21" s="2">
        <f>E21*12</f>
        <v>33210</v>
      </c>
      <c r="M21" s="6">
        <f t="shared" si="4"/>
        <v>0</v>
      </c>
      <c r="O21" s="2">
        <v>33210</v>
      </c>
    </row>
    <row r="22" spans="1:15" x14ac:dyDescent="0.25">
      <c r="A22" t="s">
        <v>8</v>
      </c>
      <c r="C22" s="2">
        <v>0</v>
      </c>
      <c r="E22" s="2">
        <v>0</v>
      </c>
      <c r="G22" s="6">
        <f t="shared" si="3"/>
        <v>0</v>
      </c>
      <c r="H22" s="6"/>
      <c r="I22" s="2">
        <f>'May 2012'!I22+C22</f>
        <v>3740.8</v>
      </c>
      <c r="K22" s="2">
        <v>3600</v>
      </c>
      <c r="M22" s="6">
        <f t="shared" si="4"/>
        <v>140.80000000000018</v>
      </c>
      <c r="O22" s="2">
        <v>3600</v>
      </c>
    </row>
    <row r="23" spans="1:15" x14ac:dyDescent="0.25">
      <c r="A23" t="s">
        <v>9</v>
      </c>
      <c r="C23" s="2">
        <v>0</v>
      </c>
      <c r="E23" s="2">
        <v>0</v>
      </c>
      <c r="G23" s="6">
        <f t="shared" si="3"/>
        <v>0</v>
      </c>
      <c r="H23" s="6"/>
      <c r="I23" s="2">
        <f>'May 2012'!I23+C23</f>
        <v>568</v>
      </c>
      <c r="K23" s="2">
        <v>600</v>
      </c>
      <c r="M23" s="6">
        <f t="shared" si="4"/>
        <v>-32</v>
      </c>
      <c r="O23" s="2">
        <v>600</v>
      </c>
    </row>
    <row r="24" spans="1:15" x14ac:dyDescent="0.25">
      <c r="A24" t="s">
        <v>10</v>
      </c>
      <c r="C24" s="2">
        <v>100</v>
      </c>
      <c r="E24" s="2">
        <v>0</v>
      </c>
      <c r="G24" s="6">
        <f t="shared" si="3"/>
        <v>100</v>
      </c>
      <c r="H24" s="6"/>
      <c r="I24" s="2">
        <f>'May 2012'!I24+C24</f>
        <v>435</v>
      </c>
      <c r="K24" s="2">
        <v>350</v>
      </c>
      <c r="M24" s="6">
        <f t="shared" si="4"/>
        <v>85</v>
      </c>
      <c r="O24" s="2">
        <v>350</v>
      </c>
    </row>
    <row r="25" spans="1:15" x14ac:dyDescent="0.25">
      <c r="A25" t="s">
        <v>11</v>
      </c>
      <c r="C25" s="2">
        <v>1081.5</v>
      </c>
      <c r="E25" s="2">
        <f>1500/12</f>
        <v>125</v>
      </c>
      <c r="G25" s="6">
        <f t="shared" si="3"/>
        <v>956.5</v>
      </c>
      <c r="H25" s="6"/>
      <c r="I25" s="2">
        <f>'May 2012'!I25+C25</f>
        <v>7482</v>
      </c>
      <c r="K25" s="2">
        <v>1500</v>
      </c>
      <c r="M25" s="6">
        <f t="shared" si="4"/>
        <v>5982</v>
      </c>
      <c r="O25" s="2">
        <v>1500</v>
      </c>
    </row>
    <row r="26" spans="1:15" x14ac:dyDescent="0.25">
      <c r="A26" t="s">
        <v>12</v>
      </c>
      <c r="C26" s="2">
        <v>0</v>
      </c>
      <c r="E26" s="2">
        <v>0</v>
      </c>
      <c r="G26" s="6">
        <f t="shared" si="3"/>
        <v>0</v>
      </c>
      <c r="H26" s="6"/>
      <c r="I26" s="2">
        <f>'May 2012'!I26+C26</f>
        <v>911</v>
      </c>
      <c r="K26" s="2">
        <v>7000</v>
      </c>
      <c r="M26" s="6">
        <f t="shared" si="4"/>
        <v>-6089</v>
      </c>
      <c r="O26" s="2">
        <v>7000</v>
      </c>
    </row>
    <row r="27" spans="1:15" x14ac:dyDescent="0.25">
      <c r="A27" t="s">
        <v>13</v>
      </c>
      <c r="C27" s="2">
        <v>0</v>
      </c>
      <c r="E27" s="2">
        <v>0</v>
      </c>
      <c r="G27" s="6">
        <f t="shared" si="3"/>
        <v>0</v>
      </c>
      <c r="H27" s="6"/>
      <c r="I27" s="2">
        <f>'May 2012'!I27+C27</f>
        <v>50</v>
      </c>
      <c r="K27" s="2">
        <v>2000</v>
      </c>
      <c r="M27" s="6">
        <f t="shared" si="4"/>
        <v>-1950</v>
      </c>
      <c r="O27" s="2">
        <v>2000</v>
      </c>
    </row>
    <row r="28" spans="1:15" x14ac:dyDescent="0.25">
      <c r="A28" t="s">
        <v>14</v>
      </c>
      <c r="C28" s="2">
        <v>0</v>
      </c>
      <c r="E28" s="2">
        <f>600/12</f>
        <v>50</v>
      </c>
      <c r="G28" s="6">
        <f t="shared" si="3"/>
        <v>-50</v>
      </c>
      <c r="H28" s="6"/>
      <c r="I28" s="2">
        <f>'May 2012'!I28+C28</f>
        <v>114</v>
      </c>
      <c r="K28" s="2">
        <f>E28*12</f>
        <v>600</v>
      </c>
      <c r="M28" s="6">
        <f t="shared" si="4"/>
        <v>-486</v>
      </c>
      <c r="O28" s="2">
        <v>600</v>
      </c>
    </row>
    <row r="29" spans="1:15" x14ac:dyDescent="0.25">
      <c r="A29" t="s">
        <v>15</v>
      </c>
      <c r="C29" s="2">
        <f>85+320+383.46+19+8.9+26.25+50</f>
        <v>892.61</v>
      </c>
      <c r="E29" s="2">
        <f>2500/12</f>
        <v>208.33333333333334</v>
      </c>
      <c r="G29" s="6">
        <f t="shared" si="3"/>
        <v>684.27666666666664</v>
      </c>
      <c r="H29" s="6"/>
      <c r="I29" s="2">
        <f>'May 2012'!I29+C29</f>
        <v>2660.76</v>
      </c>
      <c r="K29" s="2">
        <f>E29*12</f>
        <v>2500</v>
      </c>
      <c r="M29" s="6">
        <f t="shared" si="4"/>
        <v>160.76000000000022</v>
      </c>
      <c r="O29" s="2">
        <v>2500</v>
      </c>
    </row>
    <row r="30" spans="1:15" x14ac:dyDescent="0.25">
      <c r="A30" t="s">
        <v>16</v>
      </c>
      <c r="C30" s="2">
        <v>0</v>
      </c>
      <c r="E30" s="2">
        <f>3000/12</f>
        <v>250</v>
      </c>
      <c r="G30" s="6">
        <f t="shared" si="3"/>
        <v>-250</v>
      </c>
      <c r="H30" s="6"/>
      <c r="I30" s="2">
        <f>'May 2012'!I30+C30</f>
        <v>1150</v>
      </c>
      <c r="K30" s="2">
        <v>3000</v>
      </c>
      <c r="M30" s="6">
        <f t="shared" si="4"/>
        <v>-1850</v>
      </c>
      <c r="O30" s="2">
        <v>3000</v>
      </c>
    </row>
    <row r="31" spans="1:15" x14ac:dyDescent="0.25">
      <c r="A31" t="s">
        <v>17</v>
      </c>
      <c r="C31" s="2">
        <v>0</v>
      </c>
      <c r="E31" s="2">
        <f>1500/12</f>
        <v>125</v>
      </c>
      <c r="G31" s="6">
        <f t="shared" si="3"/>
        <v>-125</v>
      </c>
      <c r="H31" s="6"/>
      <c r="I31" s="2">
        <f>'May 2012'!I31+C31</f>
        <v>0</v>
      </c>
      <c r="K31" s="2">
        <v>1500</v>
      </c>
      <c r="M31" s="6">
        <f t="shared" si="4"/>
        <v>-1500</v>
      </c>
      <c r="O31" s="2">
        <v>1500</v>
      </c>
    </row>
    <row r="32" spans="1:15" x14ac:dyDescent="0.25">
      <c r="A32" t="s">
        <v>18</v>
      </c>
      <c r="C32" s="2">
        <v>0</v>
      </c>
      <c r="E32" s="2">
        <v>0</v>
      </c>
      <c r="G32" s="6">
        <f t="shared" si="3"/>
        <v>0</v>
      </c>
      <c r="H32" s="6"/>
      <c r="I32" s="2">
        <f>'May 2012'!I32+C32</f>
        <v>1793.53</v>
      </c>
      <c r="K32" s="2">
        <v>1750</v>
      </c>
      <c r="M32" s="6">
        <f t="shared" si="4"/>
        <v>43.529999999999973</v>
      </c>
      <c r="O32" s="2">
        <v>1750</v>
      </c>
    </row>
    <row r="33" spans="1:15" x14ac:dyDescent="0.25">
      <c r="G33" s="6"/>
      <c r="H33" s="6"/>
      <c r="I33" s="6"/>
    </row>
    <row r="34" spans="1:15" x14ac:dyDescent="0.25">
      <c r="A34" s="1" t="s">
        <v>94</v>
      </c>
      <c r="C34" s="2">
        <f>SUM(C17:C33)</f>
        <v>10150.580000000002</v>
      </c>
      <c r="E34" s="2">
        <f>SUM(E17:E33)</f>
        <v>4175.8333333333339</v>
      </c>
      <c r="G34" s="2">
        <f>SUM(G17:G33)</f>
        <v>5974.7466666666669</v>
      </c>
      <c r="H34" s="2"/>
      <c r="I34" s="2">
        <f>SUM(I17:I33)</f>
        <v>74674.64</v>
      </c>
      <c r="K34" s="2">
        <f>SUM(K17:K33)</f>
        <v>79510</v>
      </c>
      <c r="M34" s="2">
        <f>SUM(M17:M33)</f>
        <v>-4835.3599999999997</v>
      </c>
      <c r="O34" s="2">
        <f>SUM(O17:O33)</f>
        <v>79510</v>
      </c>
    </row>
    <row r="35" spans="1:15" x14ac:dyDescent="0.25">
      <c r="A35" t="s">
        <v>69</v>
      </c>
      <c r="G35" s="6"/>
      <c r="H35" s="6"/>
      <c r="I35" s="6"/>
    </row>
    <row r="36" spans="1:15" x14ac:dyDescent="0.25">
      <c r="G36" s="6"/>
      <c r="H36" s="6"/>
      <c r="I36" s="6"/>
    </row>
    <row r="37" spans="1:15" x14ac:dyDescent="0.25">
      <c r="A37" s="1" t="s">
        <v>38</v>
      </c>
      <c r="G37" s="6"/>
      <c r="H37" s="6"/>
      <c r="I37" s="6"/>
    </row>
    <row r="38" spans="1:15" x14ac:dyDescent="0.25">
      <c r="A38" s="1"/>
      <c r="G38" s="6"/>
      <c r="H38" s="6"/>
      <c r="I38" s="6"/>
    </row>
    <row r="39" spans="1:15" x14ac:dyDescent="0.25">
      <c r="A39" s="1" t="s">
        <v>95</v>
      </c>
      <c r="C39" s="2">
        <f>C12</f>
        <v>700.02</v>
      </c>
      <c r="E39" s="2">
        <f>E12</f>
        <v>5875</v>
      </c>
      <c r="G39" s="2">
        <f>G12</f>
        <v>-5174.9799999999996</v>
      </c>
      <c r="H39" s="2"/>
      <c r="I39" s="2">
        <f>I12</f>
        <v>81045.260000000009</v>
      </c>
      <c r="K39" s="2">
        <f>K12</f>
        <v>83500</v>
      </c>
      <c r="M39" s="2">
        <f>M12</f>
        <v>-2454.7399999999907</v>
      </c>
    </row>
    <row r="40" spans="1:15" x14ac:dyDescent="0.25">
      <c r="A40" s="1" t="s">
        <v>96</v>
      </c>
      <c r="C40" s="2">
        <f>-C34</f>
        <v>-10150.580000000002</v>
      </c>
      <c r="E40" s="2">
        <f>-E34</f>
        <v>-4175.8333333333339</v>
      </c>
      <c r="G40" s="2">
        <f>-G34</f>
        <v>-5974.7466666666669</v>
      </c>
      <c r="H40" s="2"/>
      <c r="I40" s="2">
        <f>-I34</f>
        <v>-74674.64</v>
      </c>
      <c r="K40" s="2">
        <f>-K34</f>
        <v>-79510</v>
      </c>
      <c r="M40" s="2">
        <f>-M34</f>
        <v>4835.3599999999997</v>
      </c>
    </row>
    <row r="41" spans="1:15" x14ac:dyDescent="0.25">
      <c r="G41" s="6"/>
      <c r="H41" s="6"/>
      <c r="I41" s="2"/>
      <c r="M41" s="2"/>
    </row>
    <row r="42" spans="1:15" x14ac:dyDescent="0.25">
      <c r="A42" s="1" t="s">
        <v>39</v>
      </c>
      <c r="C42" s="2">
        <f>SUM(C39:C40)</f>
        <v>-9450.5600000000013</v>
      </c>
      <c r="E42" s="2">
        <f>SUM(E39:E40)</f>
        <v>1699.1666666666661</v>
      </c>
      <c r="G42" s="2">
        <f>SUM(G39:G40)</f>
        <v>-11149.726666666666</v>
      </c>
      <c r="H42" s="2"/>
      <c r="I42" s="2">
        <f>SUM(I39:I40)</f>
        <v>6370.6200000000099</v>
      </c>
      <c r="K42" s="2">
        <f>SUM(K39:K40)</f>
        <v>3990</v>
      </c>
      <c r="M42" s="2">
        <f>SUM(M39:M40)</f>
        <v>2380.620000000009</v>
      </c>
    </row>
    <row r="43" spans="1:15" x14ac:dyDescent="0.25">
      <c r="G43" s="6"/>
      <c r="H43" s="6"/>
      <c r="I43" s="6"/>
    </row>
    <row r="44" spans="1:15" x14ac:dyDescent="0.25">
      <c r="G44" s="6"/>
      <c r="H44" s="6"/>
      <c r="I44" s="6"/>
    </row>
    <row r="45" spans="1:15" x14ac:dyDescent="0.25">
      <c r="G45" s="6"/>
      <c r="H45" s="6"/>
      <c r="I45" s="6"/>
    </row>
    <row r="46" spans="1:15" x14ac:dyDescent="0.25">
      <c r="G46" s="6"/>
      <c r="H46" s="6"/>
      <c r="I46" s="6"/>
    </row>
    <row r="47" spans="1:15" x14ac:dyDescent="0.25">
      <c r="G47" s="6"/>
      <c r="H47" s="6"/>
      <c r="I47" s="6"/>
    </row>
    <row r="48" spans="1:15" x14ac:dyDescent="0.25">
      <c r="G48" s="6"/>
      <c r="H48" s="6"/>
      <c r="I48" s="6"/>
    </row>
  </sheetData>
  <pageMargins left="0.7" right="0.7" top="0.75" bottom="0.75" header="0.3" footer="0.3"/>
  <pageSetup scale="72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Jul-Dec 2011</vt:lpstr>
      <vt:lpstr>Jan 2012</vt:lpstr>
      <vt:lpstr>Feb 2012</vt:lpstr>
      <vt:lpstr>March 2012</vt:lpstr>
      <vt:lpstr>April 2012</vt:lpstr>
      <vt:lpstr>May 2012</vt:lpstr>
      <vt:lpstr>June 2012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Duane</cp:lastModifiedBy>
  <cp:lastPrinted>2012-07-12T19:41:24Z</cp:lastPrinted>
  <dcterms:created xsi:type="dcterms:W3CDTF">2012-01-12T15:56:51Z</dcterms:created>
  <dcterms:modified xsi:type="dcterms:W3CDTF">2012-07-12T19:41:56Z</dcterms:modified>
</cp:coreProperties>
</file>